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ables/table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omments2.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codeName="ThisWorkbook" hidePivotFieldList="1"/>
  <xr:revisionPtr revIDLastSave="0" documentId="13_ncr:1_{B795900F-2F77-49C7-8849-F3D9DDD7DE08}" xr6:coauthVersionLast="47" xr6:coauthVersionMax="47" xr10:uidLastSave="{00000000-0000-0000-0000-000000000000}"/>
  <workbookProtection workbookAlgorithmName="SHA-512" workbookHashValue="9AK4aE+LMy8r+Dzc4EZFD8tC3RfUsjBuh4yUroziO/H5QJxjDsqqD92K/4p2Nerr9USrKZZ9+QmlGeynqHhQZw==" workbookSaltValue="nSkdDhwWhG2UkVvjaML4og==" workbookSpinCount="100000" lockStructure="1"/>
  <bookViews>
    <workbookView xWindow="-120" yWindow="-120" windowWidth="29040" windowHeight="15840" tabRatio="847" xr2:uid="{00000000-000D-0000-FFFF-FFFF00000000}"/>
  </bookViews>
  <sheets>
    <sheet name="ÍNDICE" sheetId="5" r:id="rId1"/>
    <sheet name="EDIFICIOS" sheetId="6" r:id="rId2"/>
    <sheet name="Datos_edif" sheetId="26" state="hidden" r:id="rId3"/>
    <sheet name="EFICIENCIA" sheetId="8" r:id="rId4"/>
    <sheet name="Datos Eff Energ" sheetId="21" state="hidden" r:id="rId5"/>
    <sheet name="ENERGIA" sheetId="11" r:id="rId6"/>
    <sheet name="Datos_energia" sheetId="22" state="hidden" r:id="rId7"/>
    <sheet name="AGUA" sheetId="15" r:id="rId8"/>
    <sheet name="Datos_agua" sheetId="16" state="hidden" r:id="rId9"/>
    <sheet name="RECURSOS" sheetId="14" r:id="rId10"/>
    <sheet name="Datos_recursos" sheetId="19" state="hidden" r:id="rId11"/>
    <sheet name="RESIDUOS" sheetId="17" r:id="rId12"/>
    <sheet name="Datos_residuos" sheetId="29" state="hidden" r:id="rId13"/>
    <sheet name="TRANSPORTE" sheetId="27" r:id="rId14"/>
    <sheet name="Datos_transporte" sheetId="28" state="hidden" r:id="rId15"/>
    <sheet name="InfoCreditos" sheetId="24" r:id="rId16"/>
    <sheet name="ResumenItems" sheetId="23" state="hidden" r:id="rId17"/>
    <sheet name="PDL" sheetId="30" state="hidden" r:id="rId18"/>
  </sheets>
  <externalReferences>
    <externalReference r:id="rId19"/>
    <externalReference r:id="rId20"/>
    <externalReference r:id="rId21"/>
    <externalReference r:id="rId22"/>
  </externalReferences>
  <definedNames>
    <definedName name="avanzado">Datos_edif!#REF!</definedName>
    <definedName name="carbon">Datos_edif!#REF!</definedName>
    <definedName name="CERTIFICACION">Datos_edif!$A$22:$A$25</definedName>
    <definedName name="certificado">Datos_edif!#REF!</definedName>
    <definedName name="ColumnTitle3" localSheetId="4">#REF!</definedName>
    <definedName name="ColumnTitle3" localSheetId="14">#REF!</definedName>
    <definedName name="ColumnTitle3" localSheetId="13">#REF!</definedName>
    <definedName name="ColumnTitle3">#REF!</definedName>
    <definedName name="DietLastEnd" localSheetId="4">#REF!</definedName>
    <definedName name="DietLastEnd" localSheetId="6">'[1]Cálculos de gráfico'!$C$5</definedName>
    <definedName name="DietLastEnd" localSheetId="14">'[1]Cálculos de gráfico'!$C$5</definedName>
    <definedName name="DietLastEnd" localSheetId="13">#REF!</definedName>
    <definedName name="DietLastEnd">#REF!</definedName>
    <definedName name="DietPeriod" localSheetId="7">#REF!</definedName>
    <definedName name="DietPeriod" localSheetId="4">[2]!Dieta[FECHA]</definedName>
    <definedName name="DietPeriod" localSheetId="6">[1]!Dieta[FECHA]</definedName>
    <definedName name="DietPeriod" localSheetId="14">[1]!Dieta[FECHA]</definedName>
    <definedName name="DietPeriod" localSheetId="3">#REF!</definedName>
    <definedName name="DietPeriod" localSheetId="5">#REF!</definedName>
    <definedName name="DietPeriod" localSheetId="9">#REF!</definedName>
    <definedName name="DietPeriod" localSheetId="11">#REF!</definedName>
    <definedName name="DietPeriod" localSheetId="13">#REF!</definedName>
    <definedName name="DietPeriod">#REF!</definedName>
    <definedName name="DietRowStart" localSheetId="4">#REF!</definedName>
    <definedName name="DietRowStart" localSheetId="6">'[1]Cálculos de gráfico'!$C$4</definedName>
    <definedName name="DietRowStart" localSheetId="14">'[1]Cálculos de gráfico'!$C$4</definedName>
    <definedName name="DietRowStart" localSheetId="13">#REF!</definedName>
    <definedName name="DietRowStart">#REF!</definedName>
    <definedName name="EDGE_Advanced__Avanzado">Datos_edif!#REF!</definedName>
    <definedName name="EDGE_Certified__Certificado">Datos_edif!#REF!</definedName>
    <definedName name="EndDate" localSheetId="4">#REF!</definedName>
    <definedName name="EndDate" localSheetId="6">[1]INDICADORES!$B$3</definedName>
    <definedName name="EndDate" localSheetId="14">[1]INDICADORES!$B$3</definedName>
    <definedName name="EndDate" localSheetId="13">#REF!</definedName>
    <definedName name="EndDate">#REF!</definedName>
    <definedName name="EndWeight" localSheetId="4">#REF!</definedName>
    <definedName name="EndWeight" localSheetId="6">[1]INDICADORES!$B$7</definedName>
    <definedName name="EndWeight" localSheetId="14">[1]INDICADORES!$B$7</definedName>
    <definedName name="EndWeight" localSheetId="13">#REF!</definedName>
    <definedName name="EndWeight">#REF!</definedName>
    <definedName name="ExerciseDateRange" localSheetId="13">#REF!</definedName>
    <definedName name="ExerciseDateRange">#REF!</definedName>
    <definedName name="ExerciseLastEnd" localSheetId="4">#REF!</definedName>
    <definedName name="ExerciseLastEnd" localSheetId="6">'[1]Cálculos de gráfico'!$C$23</definedName>
    <definedName name="ExerciseLastEnd" localSheetId="14">'[1]Cálculos de gráfico'!$C$23</definedName>
    <definedName name="ExerciseLastEnd" localSheetId="13">#REF!</definedName>
    <definedName name="ExerciseLastEnd">#REF!</definedName>
    <definedName name="ExercisePeriod" localSheetId="4">#REF!</definedName>
    <definedName name="ExercisePeriod" localSheetId="6">#REF!</definedName>
    <definedName name="ExercisePeriod" localSheetId="14">#REF!</definedName>
    <definedName name="ExercisePeriod">#REF!</definedName>
    <definedName name="ExerciseRowStart" localSheetId="4">#REF!</definedName>
    <definedName name="ExerciseRowStart" localSheetId="6">'[1]Cálculos de gráfico'!$C$22</definedName>
    <definedName name="ExerciseRowStart" localSheetId="14">'[1]Cálculos de gráfico'!$C$22</definedName>
    <definedName name="ExerciseRowStart" localSheetId="13">#REF!</definedName>
    <definedName name="ExerciseRowStart">#REF!</definedName>
    <definedName name="foto">INDIRECT(EDIFICIOS!$I$34)</definedName>
    <definedName name="Kutools_PDL0_1">INDEX(PDL!$B$1:$B$5,IFERROR(MATCH(EFICIENCIA!$P$127,PDL!$A$1:$A$4,),5))</definedName>
    <definedName name="Kutools_PDL1_1">INDEX(PDL!$D$6:$D$8,IFERROR(MATCH(EDIFICIOS!$N$77,PDL!$C$6:$C$7,),3))</definedName>
    <definedName name="Kutools_PDL2_1">INDEX(PDL!$F$9:$F$11,IFERROR(MATCH(EDIFICIOS!$N$77,PDL!$E$9:$E$10,),3))</definedName>
    <definedName name="LOGO">INDEX(Datos_edif!$B$22:$B$25,MATCH(EDIFICIOS!A1048574,CERTIFICACION,0))</definedName>
    <definedName name="LOGOS">INDEX(Datos_edif!XEX4:XEX7,MATCH(EDIFICIOS!A1048574,Datos_edif!XEW4:XEW7,0))</definedName>
    <definedName name="LossPerDay" localSheetId="13">#REF!</definedName>
    <definedName name="LossPerDay">#REF!</definedName>
    <definedName name="PlanDays" localSheetId="13">#REF!</definedName>
    <definedName name="PlanDays">#REF!</definedName>
    <definedName name="StartDate" localSheetId="4">#REF!</definedName>
    <definedName name="StartDate" localSheetId="6">[1]INDICADORES!$B$1</definedName>
    <definedName name="StartDate" localSheetId="14">[1]INDICADORES!$B$1</definedName>
    <definedName name="StartDate" localSheetId="13">#REF!</definedName>
    <definedName name="StartDate">#REF!</definedName>
    <definedName name="StartWeight" localSheetId="4">#REF!</definedName>
    <definedName name="StartWeight" localSheetId="6">[1]INDICADORES!$B$5</definedName>
    <definedName name="StartWeight" localSheetId="14">[1]INDICADORES!$B$5</definedName>
    <definedName name="StartWeight" localSheetId="13">#REF!</definedName>
    <definedName name="StartWeight">#REF!</definedName>
    <definedName name="Subtítulo" localSheetId="4">#REF!</definedName>
    <definedName name="Subtítulo" localSheetId="6">[1]INDICADORES!$C$2</definedName>
    <definedName name="Subtítulo" localSheetId="14">[1]INDICADORES!$C$2</definedName>
    <definedName name="Subtítulo" localSheetId="13">#REF!</definedName>
    <definedName name="Subtítulo">#REF!</definedName>
    <definedName name="TítuloDeColumna2" localSheetId="7">#REF!</definedName>
    <definedName name="TítuloDeColumna2" localSheetId="4">[2]!Dieta[[#Headers],[FECHA]]</definedName>
    <definedName name="TítuloDeColumna2" localSheetId="6">[1]!Dieta[[#Headers],[FECHA]]</definedName>
    <definedName name="TítuloDeColumna2" localSheetId="14">[1]!Dieta[[#Headers],[FECHA]]</definedName>
    <definedName name="TítuloDeColumna2" localSheetId="3">#REF!</definedName>
    <definedName name="TítuloDeColumna2" localSheetId="5">#REF!</definedName>
    <definedName name="TítuloDeColumna2" localSheetId="9">#REF!</definedName>
    <definedName name="TítuloDeColumna2" localSheetId="11">#REF!</definedName>
    <definedName name="TítuloDeColumna2" localSheetId="13">#REF!</definedName>
    <definedName name="TítuloDeColumna2">#REF!</definedName>
    <definedName name="visor">INDIRECT(EDIFICIOS!$I$34)</definedName>
    <definedName name="WeightGoal" localSheetId="4">#REF!</definedName>
    <definedName name="WeightGoal" localSheetId="6">[1]INDICADORES!$B$9</definedName>
    <definedName name="WeightGoal" localSheetId="14">[1]INDICADORES!$B$9</definedName>
    <definedName name="WeightGoal" localSheetId="13">#REF!</definedName>
    <definedName name="WeightGoal">#REF!</definedName>
    <definedName name="Zero_Carbon">Datos_edif!#REF!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4" i="22" l="1"/>
  <c r="G113" i="22"/>
  <c r="H81" i="22"/>
  <c r="G80" i="22"/>
  <c r="Q35" i="6"/>
  <c r="O35" i="6"/>
  <c r="M35" i="6"/>
  <c r="A39" i="26" a="1"/>
  <c r="A39" i="26" s="1"/>
  <c r="A147" i="21"/>
  <c r="A148" i="21"/>
  <c r="A149" i="21"/>
  <c r="A146" i="21"/>
  <c r="C199" i="22"/>
  <c r="G20" i="22"/>
  <c r="G59" i="22"/>
  <c r="G58" i="22"/>
  <c r="G14" i="22"/>
  <c r="D207" i="22"/>
  <c r="D208" i="22"/>
  <c r="D209" i="22"/>
  <c r="D206" i="22"/>
  <c r="D35" i="22"/>
  <c r="D36" i="22"/>
  <c r="D34" i="22"/>
  <c r="G43" i="22"/>
  <c r="E24" i="26"/>
  <c r="D24" i="26"/>
  <c r="D23" i="26"/>
  <c r="H210" i="22"/>
  <c r="H211" i="22" s="1"/>
  <c r="G204" i="22" s="1"/>
  <c r="E107" i="21"/>
  <c r="O62" i="6"/>
  <c r="O22" i="6"/>
  <c r="I47" i="6"/>
  <c r="D97" i="29"/>
  <c r="D96" i="29"/>
  <c r="E69" i="29"/>
  <c r="E70" i="29"/>
  <c r="E71" i="29"/>
  <c r="E68" i="29"/>
  <c r="C72" i="29"/>
  <c r="C69" i="29"/>
  <c r="C70" i="29"/>
  <c r="C71" i="29"/>
  <c r="C68" i="29"/>
  <c r="B42" i="29"/>
  <c r="B43" i="29"/>
  <c r="B41" i="29"/>
  <c r="H42" i="29"/>
  <c r="H43" i="29"/>
  <c r="H41" i="29"/>
  <c r="C44" i="29"/>
  <c r="C42" i="29"/>
  <c r="C43" i="29"/>
  <c r="C41" i="29"/>
  <c r="J61" i="17"/>
  <c r="C17" i="29"/>
  <c r="I15" i="29"/>
  <c r="I16" i="29"/>
  <c r="I14" i="29"/>
  <c r="B15" i="29"/>
  <c r="B16" i="29"/>
  <c r="B14" i="29"/>
  <c r="C15" i="29"/>
  <c r="C16" i="29"/>
  <c r="C14" i="29"/>
  <c r="G97" i="29"/>
  <c r="C103" i="29"/>
  <c r="P105" i="17" s="1"/>
  <c r="C102" i="29"/>
  <c r="C82" i="29"/>
  <c r="J89" i="17" s="1"/>
  <c r="G71" i="29"/>
  <c r="G79" i="29"/>
  <c r="R86" i="17" s="1"/>
  <c r="C79" i="29"/>
  <c r="A71" i="29"/>
  <c r="A79" i="29" s="1"/>
  <c r="F86" i="17" s="1"/>
  <c r="G70" i="29"/>
  <c r="G78" i="29"/>
  <c r="R85" i="17" s="1"/>
  <c r="C78" i="29"/>
  <c r="A70" i="29"/>
  <c r="A78" i="29" s="1"/>
  <c r="F85" i="17" s="1"/>
  <c r="G69" i="29"/>
  <c r="G77" i="29"/>
  <c r="R84" i="17" s="1"/>
  <c r="C77" i="29"/>
  <c r="A69" i="29"/>
  <c r="A77" i="29" s="1"/>
  <c r="F84" i="17" s="1"/>
  <c r="G68" i="29"/>
  <c r="G76" i="29"/>
  <c r="R83" i="17" s="1"/>
  <c r="C76" i="29"/>
  <c r="J83" i="17" s="1"/>
  <c r="A68" i="29"/>
  <c r="A76" i="29" s="1"/>
  <c r="F83" i="17" s="1"/>
  <c r="F44" i="29"/>
  <c r="C53" i="29"/>
  <c r="G50" i="29"/>
  <c r="R58" i="17" s="1"/>
  <c r="G43" i="29"/>
  <c r="C50" i="29"/>
  <c r="G49" i="29"/>
  <c r="R57" i="17" s="1"/>
  <c r="G42" i="29"/>
  <c r="C49" i="29"/>
  <c r="G48" i="29"/>
  <c r="R56" i="17" s="1"/>
  <c r="G41" i="29"/>
  <c r="C48" i="29"/>
  <c r="J56" i="17" s="1"/>
  <c r="C26" i="29"/>
  <c r="J35" i="17" s="1"/>
  <c r="G23" i="29"/>
  <c r="R32" i="17" s="1"/>
  <c r="G16" i="29"/>
  <c r="C23" i="29"/>
  <c r="G22" i="29"/>
  <c r="R31" i="17" s="1"/>
  <c r="G15" i="29"/>
  <c r="C22" i="29"/>
  <c r="G21" i="29"/>
  <c r="R30" i="17" s="1"/>
  <c r="G14" i="29"/>
  <c r="C21" i="29"/>
  <c r="J30" i="17" s="1"/>
  <c r="E102" i="29" l="1"/>
  <c r="P104" i="17" s="1"/>
  <c r="P103" i="17"/>
  <c r="E77" i="29"/>
  <c r="N84" i="17" s="1"/>
  <c r="J84" i="17"/>
  <c r="E78" i="29"/>
  <c r="N85" i="17" s="1"/>
  <c r="J85" i="17"/>
  <c r="E79" i="29"/>
  <c r="N86" i="17" s="1"/>
  <c r="J86" i="17"/>
  <c r="E49" i="29"/>
  <c r="N57" i="17" s="1"/>
  <c r="J57" i="17"/>
  <c r="E50" i="29"/>
  <c r="N58" i="17" s="1"/>
  <c r="J58" i="17"/>
  <c r="E22" i="29"/>
  <c r="N31" i="17" s="1"/>
  <c r="J31" i="17"/>
  <c r="E23" i="29"/>
  <c r="N32" i="17" s="1"/>
  <c r="J32" i="17"/>
  <c r="C24" i="29"/>
  <c r="E21" i="29"/>
  <c r="C51" i="29"/>
  <c r="E48" i="29"/>
  <c r="C80" i="29"/>
  <c r="J87" i="17" s="1"/>
  <c r="E76" i="29"/>
  <c r="E80" i="29" l="1"/>
  <c r="C81" i="29" s="1"/>
  <c r="J88" i="17" s="1"/>
  <c r="N83" i="17"/>
  <c r="J59" i="17"/>
  <c r="E51" i="29"/>
  <c r="C52" i="29" s="1"/>
  <c r="J60" i="17" s="1"/>
  <c r="N56" i="17"/>
  <c r="J33" i="17"/>
  <c r="C25" i="29"/>
  <c r="J34" i="17" s="1"/>
  <c r="N30" i="17"/>
  <c r="D58" i="28" l="1"/>
  <c r="D57" i="28"/>
  <c r="H58" i="28" s="1"/>
  <c r="D56" i="28"/>
  <c r="D44" i="28" l="1"/>
  <c r="D43" i="28"/>
  <c r="H45" i="28" s="1"/>
  <c r="H48" i="28" s="1"/>
  <c r="D28" i="28"/>
  <c r="D27" i="28"/>
  <c r="D25" i="28"/>
  <c r="D26" i="28"/>
  <c r="D24" i="28"/>
  <c r="Q43" i="27"/>
  <c r="Q42" i="27"/>
  <c r="H43" i="27"/>
  <c r="H42" i="27"/>
  <c r="D23" i="28"/>
  <c r="D22" i="28"/>
  <c r="D6" i="28"/>
  <c r="D7" i="28"/>
  <c r="D8" i="28"/>
  <c r="D10" i="28"/>
  <c r="H9" i="28" s="1"/>
  <c r="H13" i="28" s="1"/>
  <c r="D11" i="28"/>
  <c r="D12" i="28"/>
  <c r="D13" i="28"/>
  <c r="D14" i="28"/>
  <c r="H10" i="28" s="1"/>
  <c r="H11" i="28" s="1"/>
  <c r="M10" i="28" s="1"/>
  <c r="D15" i="28"/>
  <c r="K29" i="28"/>
  <c r="D31" i="28"/>
  <c r="D32" i="28"/>
  <c r="D33" i="28"/>
  <c r="D34" i="28"/>
  <c r="D35" i="28"/>
  <c r="C46" i="28"/>
  <c r="D46" i="28"/>
  <c r="C47" i="28"/>
  <c r="D47" i="28"/>
  <c r="D48" i="28"/>
  <c r="D61" i="28"/>
  <c r="D62" i="28"/>
  <c r="I24" i="27"/>
  <c r="H57" i="27" s="1"/>
  <c r="L10" i="28" l="1"/>
  <c r="D30" i="28"/>
  <c r="H26" i="28" s="1"/>
  <c r="H30" i="28" s="1"/>
  <c r="H46" i="28"/>
  <c r="I73" i="27"/>
  <c r="H79" i="27" s="1"/>
  <c r="H30" i="27"/>
  <c r="H12" i="28"/>
  <c r="H14" i="28"/>
  <c r="L9" i="28" s="1"/>
  <c r="H59" i="28"/>
  <c r="H62" i="28" s="1"/>
  <c r="H27" i="28"/>
  <c r="H28" i="28" s="1"/>
  <c r="H35" i="28" s="1"/>
  <c r="G35" i="28" l="1"/>
  <c r="G68" i="28"/>
  <c r="H31" i="28"/>
  <c r="G34" i="28" s="1"/>
  <c r="H29" i="28"/>
  <c r="I51" i="27"/>
  <c r="H60" i="28"/>
  <c r="H68" i="28" s="1"/>
  <c r="H63" i="28" l="1"/>
  <c r="G67" i="28" s="1"/>
  <c r="H61" i="28"/>
  <c r="I96" i="27"/>
  <c r="H102" i="27" s="1"/>
  <c r="Q78" i="8"/>
  <c r="E130" i="21" l="1"/>
  <c r="E129" i="21"/>
  <c r="E133" i="21"/>
  <c r="E138" i="21"/>
  <c r="E139" i="21"/>
  <c r="I128" i="21" l="1"/>
  <c r="I129" i="21" s="1"/>
  <c r="I130" i="21" s="1"/>
  <c r="I132" i="21" s="1"/>
  <c r="I135" i="21" s="1"/>
  <c r="E142" i="21" s="1"/>
  <c r="E168" i="19"/>
  <c r="E167" i="19"/>
  <c r="E166" i="19"/>
  <c r="E165" i="19"/>
  <c r="E164" i="19"/>
  <c r="E163" i="19"/>
  <c r="E162" i="19"/>
  <c r="E161" i="19"/>
  <c r="E160" i="19"/>
  <c r="E159" i="19"/>
  <c r="E158" i="19"/>
  <c r="E157" i="19"/>
  <c r="E156" i="19"/>
  <c r="I131" i="21" l="1"/>
  <c r="I133" i="21" s="1"/>
  <c r="I134" i="21" s="1"/>
  <c r="I136" i="21" s="1"/>
  <c r="I137" i="21" s="1"/>
  <c r="H141" i="21"/>
  <c r="O101" i="6"/>
  <c r="D219" i="22"/>
  <c r="D221" i="22"/>
  <c r="D220" i="22"/>
  <c r="P275" i="11"/>
  <c r="H275" i="11"/>
  <c r="D191" i="22"/>
  <c r="D190" i="22"/>
  <c r="D189" i="22"/>
  <c r="J108" i="8" l="1"/>
  <c r="I114" i="8" s="1"/>
  <c r="I141" i="21"/>
  <c r="E143" i="21"/>
  <c r="H140" i="21" s="1"/>
  <c r="H223" i="22"/>
  <c r="H224" i="22" s="1"/>
  <c r="G220" i="22" s="1"/>
  <c r="I280" i="11"/>
  <c r="I286" i="11" s="1"/>
  <c r="D227" i="22"/>
  <c r="H225" i="22"/>
  <c r="I255" i="11"/>
  <c r="I261" i="11" s="1"/>
  <c r="H212" i="22"/>
  <c r="H195" i="22"/>
  <c r="D170" i="22"/>
  <c r="D169" i="22"/>
  <c r="D168" i="22"/>
  <c r="D167" i="22"/>
  <c r="D166" i="22"/>
  <c r="D165" i="22"/>
  <c r="D164" i="22"/>
  <c r="D181" i="22"/>
  <c r="H166" i="22" l="1"/>
  <c r="H167" i="22" s="1"/>
  <c r="G177" i="22" s="1"/>
  <c r="H196" i="22"/>
  <c r="H197" i="22" s="1"/>
  <c r="D196" i="22" s="1"/>
  <c r="D197" i="22"/>
  <c r="H198" i="22"/>
  <c r="D145" i="22"/>
  <c r="D144" i="22"/>
  <c r="G149" i="22"/>
  <c r="G145" i="22" s="1"/>
  <c r="G146" i="22" s="1"/>
  <c r="H168" i="22" l="1"/>
  <c r="I206" i="11"/>
  <c r="I212" i="11" s="1"/>
  <c r="H152" i="22"/>
  <c r="H153" i="22" s="1"/>
  <c r="H155" i="22" s="1"/>
  <c r="G140" i="22" s="1"/>
  <c r="I229" i="11"/>
  <c r="I235" i="11" s="1"/>
  <c r="H199" i="22"/>
  <c r="H154" i="22" l="1"/>
  <c r="I177" i="11"/>
  <c r="I183" i="11" s="1"/>
  <c r="H156" i="22"/>
  <c r="E225" i="19"/>
  <c r="E228" i="19"/>
  <c r="C208" i="19"/>
  <c r="C207" i="19"/>
  <c r="C206" i="19"/>
  <c r="D234" i="19" s="1"/>
  <c r="O113" i="14"/>
  <c r="D208" i="19" s="1"/>
  <c r="P110" i="14"/>
  <c r="F233" i="19" l="1"/>
  <c r="E227" i="19"/>
  <c r="E226" i="19"/>
  <c r="B221" i="19"/>
  <c r="G223" i="19" s="1"/>
  <c r="C233" i="19"/>
  <c r="K117" i="14" s="1"/>
  <c r="D206" i="19"/>
  <c r="D233" i="19" s="1"/>
  <c r="O117" i="14" s="1"/>
  <c r="C234" i="19" l="1"/>
  <c r="A234" i="19"/>
  <c r="G233" i="19"/>
  <c r="C6" i="26" l="1"/>
  <c r="C5" i="26"/>
  <c r="C4" i="26"/>
  <c r="Q79" i="6"/>
  <c r="D6" i="26" s="1"/>
  <c r="Q77" i="6" l="1"/>
  <c r="A19" i="26"/>
  <c r="L88" i="6" s="1"/>
  <c r="D19" i="26"/>
  <c r="C18" i="26"/>
  <c r="O85" i="6" s="1"/>
  <c r="D5" i="26"/>
  <c r="D18" i="26" s="1"/>
  <c r="Q85" i="6" s="1"/>
  <c r="Q88" i="6" l="1"/>
  <c r="C19" i="26"/>
  <c r="O88" i="6" s="1"/>
  <c r="I88" i="6" s="1"/>
  <c r="P165" i="14" l="1"/>
  <c r="P164" i="14"/>
  <c r="O165" i="14"/>
  <c r="O164" i="14"/>
  <c r="D194" i="19"/>
  <c r="C195" i="19"/>
  <c r="C194" i="19"/>
  <c r="C200" i="19"/>
  <c r="O84" i="14" s="1"/>
  <c r="E3" i="23"/>
  <c r="E4" i="23"/>
  <c r="E5" i="23"/>
  <c r="E6" i="23"/>
  <c r="E7" i="23"/>
  <c r="E8" i="23"/>
  <c r="E9" i="23"/>
  <c r="E10" i="23"/>
  <c r="E11" i="23"/>
  <c r="E12" i="23"/>
  <c r="E13" i="23"/>
  <c r="E14" i="23"/>
  <c r="E15" i="23"/>
  <c r="E16" i="23"/>
  <c r="E17" i="23"/>
  <c r="E18" i="23"/>
  <c r="E19" i="23"/>
  <c r="E20" i="23"/>
  <c r="E21" i="23"/>
  <c r="E22" i="23"/>
  <c r="E23" i="23"/>
  <c r="E24" i="23"/>
  <c r="E25" i="23"/>
  <c r="E26" i="23"/>
  <c r="E27" i="23"/>
  <c r="E28" i="23"/>
  <c r="E29" i="23"/>
  <c r="E30" i="23"/>
  <c r="E31" i="23"/>
  <c r="E32" i="23"/>
  <c r="E33" i="23"/>
  <c r="E2" i="23"/>
  <c r="B88" i="16"/>
  <c r="B91" i="16" s="1"/>
  <c r="O69" i="15" s="1"/>
  <c r="B87" i="16"/>
  <c r="C62" i="16"/>
  <c r="C63" i="16"/>
  <c r="C61" i="16"/>
  <c r="B62" i="16"/>
  <c r="B63" i="16"/>
  <c r="B61" i="16"/>
  <c r="B42" i="16"/>
  <c r="B41" i="16"/>
  <c r="B18" i="16"/>
  <c r="B17" i="16"/>
  <c r="B16" i="16"/>
  <c r="B15" i="16"/>
  <c r="B14" i="16"/>
  <c r="D110" i="22"/>
  <c r="D109" i="22"/>
  <c r="D108" i="22"/>
  <c r="C201" i="19" l="1"/>
  <c r="O85" i="14" s="1"/>
  <c r="D68" i="22"/>
  <c r="D67" i="22"/>
  <c r="D66" i="22"/>
  <c r="D22" i="22"/>
  <c r="D21" i="22"/>
  <c r="H24" i="22" s="1"/>
  <c r="G19" i="22" s="1"/>
  <c r="D51" i="22"/>
  <c r="D52" i="22"/>
  <c r="D50" i="22"/>
  <c r="D7" i="22"/>
  <c r="D6" i="22"/>
  <c r="H9" i="22" s="1"/>
  <c r="H10" i="22" s="1"/>
  <c r="P50" i="11"/>
  <c r="D114" i="22"/>
  <c r="D115" i="22" s="1"/>
  <c r="D116" i="22" s="1"/>
  <c r="D86" i="22"/>
  <c r="E75" i="22"/>
  <c r="E74" i="22"/>
  <c r="E73" i="22"/>
  <c r="G69" i="22"/>
  <c r="H66" i="22"/>
  <c r="H67" i="22" s="1"/>
  <c r="H68" i="22" s="1"/>
  <c r="H38" i="22"/>
  <c r="D14" i="22" l="1"/>
  <c r="H54" i="22"/>
  <c r="H55" i="22" s="1"/>
  <c r="D59" i="22" s="1"/>
  <c r="H25" i="22"/>
  <c r="I54" i="11"/>
  <c r="I60" i="11" s="1"/>
  <c r="H39" i="22"/>
  <c r="H40" i="22"/>
  <c r="I30" i="11"/>
  <c r="I36" i="11" s="1"/>
  <c r="H26" i="22"/>
  <c r="I103" i="11"/>
  <c r="I109" i="11" s="1"/>
  <c r="H56" i="22"/>
  <c r="I79" i="11"/>
  <c r="I85" i="11" s="1"/>
  <c r="H11" i="22"/>
  <c r="H70" i="22"/>
  <c r="H69" i="22"/>
  <c r="G13" i="22" l="1"/>
  <c r="H71" i="22"/>
  <c r="D43" i="22"/>
  <c r="G42" i="22" s="1"/>
  <c r="I128" i="11"/>
  <c r="I134" i="11" s="1"/>
  <c r="C144" i="19" l="1"/>
  <c r="D143" i="19"/>
  <c r="C143" i="19"/>
  <c r="D121" i="19"/>
  <c r="C122" i="19"/>
  <c r="C121" i="19"/>
  <c r="A179" i="19"/>
  <c r="A178" i="19"/>
  <c r="A177" i="19"/>
  <c r="A176" i="19"/>
  <c r="A175" i="19"/>
  <c r="A174" i="19"/>
  <c r="A173" i="19"/>
  <c r="A172" i="19"/>
  <c r="A171" i="19"/>
  <c r="L168" i="19"/>
  <c r="B179" i="19"/>
  <c r="L167" i="19"/>
  <c r="B178" i="19"/>
  <c r="L166" i="19"/>
  <c r="B177" i="19"/>
  <c r="L165" i="19"/>
  <c r="B176" i="19"/>
  <c r="L164" i="19"/>
  <c r="B175" i="19"/>
  <c r="L163" i="19"/>
  <c r="B174" i="19"/>
  <c r="L162" i="19"/>
  <c r="B173" i="19"/>
  <c r="L161" i="19"/>
  <c r="L160" i="19"/>
  <c r="B172" i="19"/>
  <c r="L159" i="19"/>
  <c r="L158" i="19"/>
  <c r="L157" i="19"/>
  <c r="K157" i="19"/>
  <c r="L156" i="19"/>
  <c r="B171" i="19"/>
  <c r="C85" i="19"/>
  <c r="D85" i="19"/>
  <c r="C86" i="19"/>
  <c r="H132" i="19" l="1"/>
  <c r="H110" i="19"/>
  <c r="H133" i="19"/>
  <c r="H111" i="19"/>
  <c r="H134" i="19"/>
  <c r="H112" i="19"/>
  <c r="H135" i="19"/>
  <c r="H113" i="19"/>
  <c r="H136" i="19"/>
  <c r="H114" i="19"/>
  <c r="H137" i="19"/>
  <c r="H115" i="19"/>
  <c r="H138" i="19"/>
  <c r="H116" i="19"/>
  <c r="H139" i="19"/>
  <c r="H117" i="19"/>
  <c r="H140" i="19"/>
  <c r="H118" i="19"/>
  <c r="C149" i="19"/>
  <c r="O41" i="14" s="1"/>
  <c r="C127" i="19"/>
  <c r="O55" i="14"/>
  <c r="I105" i="19" l="1"/>
  <c r="E105" i="19"/>
  <c r="I104" i="19"/>
  <c r="E104" i="19"/>
  <c r="I103" i="19"/>
  <c r="D103" i="19"/>
  <c r="E103" i="19" s="1"/>
  <c r="I102" i="19"/>
  <c r="E102" i="19"/>
  <c r="I101" i="19"/>
  <c r="E101" i="19"/>
  <c r="I100" i="19"/>
  <c r="D100" i="19"/>
  <c r="E100" i="19" s="1"/>
  <c r="I99" i="19"/>
  <c r="E99" i="19"/>
  <c r="I98" i="19"/>
  <c r="E98" i="19"/>
  <c r="C92" i="19"/>
  <c r="O70" i="14" s="1"/>
  <c r="C91" i="19"/>
  <c r="O69" i="14" s="1"/>
  <c r="M79" i="19"/>
  <c r="N79" i="19" s="1"/>
  <c r="M78" i="19"/>
  <c r="N78" i="19" s="1"/>
  <c r="M77" i="19"/>
  <c r="L77" i="19"/>
  <c r="M76" i="19"/>
  <c r="N76" i="19" s="1"/>
  <c r="M75" i="19"/>
  <c r="N75" i="19" s="1"/>
  <c r="L74" i="19"/>
  <c r="J74" i="19"/>
  <c r="I74" i="19"/>
  <c r="M74" i="19" s="1"/>
  <c r="N74" i="19" s="1"/>
  <c r="M73" i="19"/>
  <c r="N73" i="19" s="1"/>
  <c r="J72" i="19"/>
  <c r="I72" i="19"/>
  <c r="M72" i="19" s="1"/>
  <c r="N72" i="19" s="1"/>
  <c r="E62" i="19"/>
  <c r="E61" i="19"/>
  <c r="D69" i="19"/>
  <c r="O100" i="14" s="1"/>
  <c r="D68" i="19"/>
  <c r="O99" i="14" s="1"/>
  <c r="D88" i="21"/>
  <c r="D87" i="21"/>
  <c r="Q150" i="8"/>
  <c r="D70" i="21"/>
  <c r="D69" i="21"/>
  <c r="D68" i="21"/>
  <c r="D67" i="21"/>
  <c r="D108" i="21"/>
  <c r="D107" i="21"/>
  <c r="D106" i="21"/>
  <c r="D46" i="21"/>
  <c r="D45" i="21"/>
  <c r="D44" i="21"/>
  <c r="D43" i="21"/>
  <c r="H48" i="8"/>
  <c r="D10" i="21"/>
  <c r="D9" i="21"/>
  <c r="D8" i="21"/>
  <c r="D7" i="21"/>
  <c r="D6" i="21"/>
  <c r="H111" i="21" l="1"/>
  <c r="H112" i="21" s="1"/>
  <c r="H115" i="21" s="1"/>
  <c r="D117" i="21" s="1"/>
  <c r="N77" i="19"/>
  <c r="P122" i="21"/>
  <c r="O122" i="21"/>
  <c r="N122" i="21"/>
  <c r="M122" i="21"/>
  <c r="L122" i="21"/>
  <c r="K122" i="21"/>
  <c r="D113" i="21"/>
  <c r="M109" i="21"/>
  <c r="M108" i="21"/>
  <c r="M107" i="21"/>
  <c r="M106" i="21"/>
  <c r="M105" i="21"/>
  <c r="M104" i="21"/>
  <c r="D93" i="21"/>
  <c r="H72" i="21"/>
  <c r="H73" i="21" s="1"/>
  <c r="D58" i="21"/>
  <c r="D57" i="21"/>
  <c r="D54" i="21"/>
  <c r="H48" i="21"/>
  <c r="H49" i="21" s="1"/>
  <c r="H53" i="21" s="1"/>
  <c r="AO36" i="21"/>
  <c r="S36" i="21" s="1"/>
  <c r="AE36" i="21"/>
  <c r="T36" i="21" s="1"/>
  <c r="U36" i="21"/>
  <c r="Q36" i="21"/>
  <c r="H36" i="21"/>
  <c r="AO35" i="21"/>
  <c r="S35" i="21" s="1"/>
  <c r="AE35" i="21"/>
  <c r="T35" i="21" s="1"/>
  <c r="U35" i="21"/>
  <c r="Q35" i="21"/>
  <c r="H35" i="21"/>
  <c r="AO34" i="21"/>
  <c r="AE34" i="21"/>
  <c r="U34" i="21"/>
  <c r="T34" i="21"/>
  <c r="S34" i="21"/>
  <c r="Q34" i="21"/>
  <c r="H34" i="21"/>
  <c r="AO33" i="21"/>
  <c r="AE33" i="21"/>
  <c r="U33" i="21"/>
  <c r="T33" i="21"/>
  <c r="S33" i="21"/>
  <c r="Q33" i="21"/>
  <c r="H33" i="21"/>
  <c r="AO32" i="21"/>
  <c r="AE32" i="21"/>
  <c r="U32" i="21"/>
  <c r="T32" i="21"/>
  <c r="S32" i="21"/>
  <c r="Q32" i="21"/>
  <c r="H32" i="21"/>
  <c r="AO31" i="21"/>
  <c r="AE31" i="21"/>
  <c r="U31" i="21"/>
  <c r="T31" i="21"/>
  <c r="S31" i="21"/>
  <c r="Q31" i="21"/>
  <c r="H31" i="21"/>
  <c r="AO30" i="21"/>
  <c r="S30" i="21" s="1"/>
  <c r="AE30" i="21"/>
  <c r="U30" i="21"/>
  <c r="T30" i="21"/>
  <c r="Q30" i="21"/>
  <c r="H30" i="21"/>
  <c r="AO29" i="21"/>
  <c r="S29" i="21" s="1"/>
  <c r="AE29" i="21"/>
  <c r="T29" i="21" s="1"/>
  <c r="U29" i="21"/>
  <c r="Q29" i="21"/>
  <c r="H29" i="21"/>
  <c r="AO28" i="21"/>
  <c r="S28" i="21" s="1"/>
  <c r="AE28" i="21"/>
  <c r="T28" i="21" s="1"/>
  <c r="U28" i="21"/>
  <c r="Q28" i="21"/>
  <c r="H28" i="21"/>
  <c r="AO27" i="21"/>
  <c r="S27" i="21" s="1"/>
  <c r="AE27" i="21"/>
  <c r="T27" i="21" s="1"/>
  <c r="U27" i="21"/>
  <c r="Q27" i="21"/>
  <c r="H27" i="21"/>
  <c r="AO26" i="21"/>
  <c r="AE26" i="21"/>
  <c r="U26" i="21"/>
  <c r="T26" i="21"/>
  <c r="S26" i="21"/>
  <c r="Q26" i="21"/>
  <c r="H26" i="21"/>
  <c r="AO25" i="21"/>
  <c r="AE25" i="21"/>
  <c r="U25" i="21"/>
  <c r="T25" i="21"/>
  <c r="S25" i="21"/>
  <c r="Q25" i="21"/>
  <c r="H25" i="21"/>
  <c r="AO24" i="21"/>
  <c r="AE24" i="21"/>
  <c r="U24" i="21"/>
  <c r="T24" i="21"/>
  <c r="S24" i="21"/>
  <c r="Q24" i="21"/>
  <c r="H24" i="21"/>
  <c r="AO23" i="21"/>
  <c r="AE23" i="21"/>
  <c r="U23" i="21"/>
  <c r="T23" i="21"/>
  <c r="S23" i="21"/>
  <c r="Q23" i="21"/>
  <c r="H23" i="21"/>
  <c r="D23" i="21"/>
  <c r="AO22" i="21"/>
  <c r="AE22" i="21"/>
  <c r="U22" i="21"/>
  <c r="T22" i="21"/>
  <c r="S22" i="21"/>
  <c r="Q22" i="21"/>
  <c r="H22" i="21"/>
  <c r="AO21" i="21"/>
  <c r="S21" i="21" s="1"/>
  <c r="AE21" i="21"/>
  <c r="U21" i="21"/>
  <c r="T21" i="21"/>
  <c r="Q21" i="21"/>
  <c r="H21" i="21"/>
  <c r="AO20" i="21"/>
  <c r="S20" i="21" s="1"/>
  <c r="AE20" i="21"/>
  <c r="T20" i="21" s="1"/>
  <c r="U20" i="21"/>
  <c r="Q20" i="21"/>
  <c r="H20" i="21"/>
  <c r="AO19" i="21"/>
  <c r="S19" i="21" s="1"/>
  <c r="AE19" i="21"/>
  <c r="T19" i="21" s="1"/>
  <c r="U19" i="21"/>
  <c r="Q19" i="21"/>
  <c r="H19" i="21"/>
  <c r="AO18" i="21"/>
  <c r="S18" i="21" s="1"/>
  <c r="AE18" i="21"/>
  <c r="T18" i="21" s="1"/>
  <c r="U18" i="21"/>
  <c r="Q18" i="21"/>
  <c r="H18" i="21"/>
  <c r="AO17" i="21"/>
  <c r="AE17" i="21"/>
  <c r="U17" i="21"/>
  <c r="T17" i="21"/>
  <c r="S17" i="21"/>
  <c r="Q17" i="21"/>
  <c r="H17" i="21"/>
  <c r="AO16" i="21"/>
  <c r="AE16" i="21"/>
  <c r="U16" i="21"/>
  <c r="T16" i="21"/>
  <c r="S16" i="21"/>
  <c r="Q16" i="21"/>
  <c r="H16" i="21"/>
  <c r="AO15" i="21"/>
  <c r="AE15" i="21"/>
  <c r="U15" i="21"/>
  <c r="T15" i="21"/>
  <c r="S15" i="21"/>
  <c r="Q15" i="21"/>
  <c r="H15" i="21"/>
  <c r="AO14" i="21"/>
  <c r="AE14" i="21"/>
  <c r="U14" i="21"/>
  <c r="T14" i="21"/>
  <c r="S14" i="21"/>
  <c r="Q14" i="21"/>
  <c r="H14" i="21"/>
  <c r="AO13" i="21"/>
  <c r="S13" i="21" s="1"/>
  <c r="AE13" i="21"/>
  <c r="U13" i="21"/>
  <c r="T13" i="21"/>
  <c r="Q13" i="21"/>
  <c r="H13" i="21"/>
  <c r="AO12" i="21"/>
  <c r="S12" i="21" s="1"/>
  <c r="AE12" i="21"/>
  <c r="T12" i="21" s="1"/>
  <c r="U12" i="21"/>
  <c r="Q12" i="21"/>
  <c r="H12" i="21"/>
  <c r="H11" i="21"/>
  <c r="D25" i="21" s="1"/>
  <c r="H10" i="21"/>
  <c r="AO9" i="21"/>
  <c r="S9" i="21" s="1"/>
  <c r="AE9" i="21"/>
  <c r="U9" i="21"/>
  <c r="T9" i="21"/>
  <c r="Q9" i="21"/>
  <c r="H9" i="21"/>
  <c r="AO8" i="21"/>
  <c r="S8" i="21" s="1"/>
  <c r="AE8" i="21"/>
  <c r="T8" i="21" s="1"/>
  <c r="U8" i="21"/>
  <c r="Q8" i="21"/>
  <c r="H8" i="21"/>
  <c r="AO7" i="21"/>
  <c r="S7" i="21" s="1"/>
  <c r="AE7" i="21"/>
  <c r="T7" i="21" s="1"/>
  <c r="U7" i="21"/>
  <c r="Q7" i="21"/>
  <c r="H7" i="21"/>
  <c r="AO6" i="21"/>
  <c r="S6" i="21" s="1"/>
  <c r="AE6" i="21"/>
  <c r="U6" i="21"/>
  <c r="T6" i="21"/>
  <c r="Q6" i="21"/>
  <c r="AO5" i="21"/>
  <c r="AE5" i="21"/>
  <c r="U5" i="21"/>
  <c r="T5" i="21"/>
  <c r="S5" i="21"/>
  <c r="Q5" i="21"/>
  <c r="AO4" i="21"/>
  <c r="D122" i="21" l="1"/>
  <c r="D59" i="21"/>
  <c r="D26" i="21"/>
  <c r="D24" i="21"/>
  <c r="D28" i="21" s="1"/>
  <c r="D18" i="21" s="1"/>
  <c r="H50" i="21"/>
  <c r="H51" i="21" s="1"/>
  <c r="H52" i="21" s="1"/>
  <c r="H54" i="21" s="1"/>
  <c r="H59" i="21" s="1"/>
  <c r="H76" i="21"/>
  <c r="D79" i="21" s="1"/>
  <c r="H74" i="21"/>
  <c r="H75" i="21" s="1"/>
  <c r="H87" i="21"/>
  <c r="H113" i="21"/>
  <c r="H114" i="21" s="1"/>
  <c r="H116" i="21" s="1"/>
  <c r="E122" i="21" s="1"/>
  <c r="G68" i="21" l="1"/>
  <c r="C35" i="21"/>
  <c r="G59" i="21"/>
  <c r="D118" i="21"/>
  <c r="D121" i="21" s="1"/>
  <c r="J86" i="8"/>
  <c r="I92" i="8" s="1"/>
  <c r="J56" i="8"/>
  <c r="I62" i="8" s="1"/>
  <c r="H77" i="21"/>
  <c r="H68" i="21" s="1"/>
  <c r="H117" i="21"/>
  <c r="H89" i="21"/>
  <c r="H91" i="21" s="1"/>
  <c r="D98" i="21" s="1"/>
  <c r="H88" i="21"/>
  <c r="D60" i="21"/>
  <c r="G58" i="21" s="1"/>
  <c r="H55" i="21"/>
  <c r="D27" i="21"/>
  <c r="D29" i="21" s="1"/>
  <c r="H99" i="21" l="1"/>
  <c r="D19" i="21"/>
  <c r="C34" i="21" s="1"/>
  <c r="D35" i="21"/>
  <c r="J132" i="8"/>
  <c r="I138" i="8" s="1"/>
  <c r="D80" i="21"/>
  <c r="G67" i="21" s="1"/>
  <c r="H78" i="21"/>
  <c r="H90" i="21"/>
  <c r="H92" i="21" s="1"/>
  <c r="I99" i="21" s="1"/>
  <c r="J30" i="8"/>
  <c r="I36" i="8" s="1"/>
  <c r="D30" i="21"/>
  <c r="J154" i="8" l="1"/>
  <c r="I160" i="8" s="1"/>
  <c r="H93" i="21"/>
  <c r="D99" i="21"/>
  <c r="H98" i="21" s="1"/>
  <c r="O153" i="11"/>
  <c r="O154" i="11"/>
  <c r="O155" i="11"/>
  <c r="I161" i="11" s="1"/>
  <c r="A91" i="16" l="1"/>
  <c r="B68" i="16"/>
  <c r="B45" i="16"/>
  <c r="A45" i="16"/>
  <c r="B22" i="16"/>
  <c r="C16" i="16"/>
  <c r="O40" i="15" l="1"/>
  <c r="B23" i="16"/>
  <c r="B69" i="16"/>
  <c r="O55" i="15" l="1"/>
  <c r="O2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G106" authorId="0" shapeId="0" xr:uid="{6FB57DB2-425B-4423-AE79-64DFCB754DF0}">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Max 24 pies cúbicos o 700 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tc={9F498EA8-9F4E-4C72-B3FB-0635692977D5}</author>
  </authors>
  <commentList>
    <comment ref="G6" authorId="0" shapeId="0" xr:uid="{9F498EA8-9F4E-4C72-B3FB-0635692977D5}">
      <text>
        <t>[Comentario encadenado]
Su versión de Excel le permite leer este comentario encadenado; sin embargo, las ediciones que se apliquen se quitarán si el archivo se abre en una versión más reciente de Excel. Más información: https://go.microsoft.com/fwlink/?linkid=870924
Comentario:
    Max 24 pies cúbicos o 700 L</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<sst xmlns="http://schemas.openxmlformats.org/spreadsheetml/2006/main" count="2792" uniqueCount="1121">
  <si>
    <t>MONITOREO DE INDICADORES AMBIENTALES PARA CRÉDITOS VERDES</t>
  </si>
  <si>
    <t xml:space="preserve">    </t>
  </si>
  <si>
    <t>Criterio de elegibilidad</t>
  </si>
  <si>
    <t>Indicador</t>
  </si>
  <si>
    <t>Ventajas de la certificación</t>
  </si>
  <si>
    <t>Adquisición de maquinaria y equipos que cuenten con sellos de alta eficiencia en el mercado</t>
  </si>
  <si>
    <t>Aires acondicionados con etiqueta A, inverter con uso de refrigerante R410</t>
  </si>
  <si>
    <t>Leadership in Energy &amp; Environmental Design (LEED)</t>
  </si>
  <si>
    <t>A. LEED</t>
  </si>
  <si>
    <t>B. EDGE</t>
  </si>
  <si>
    <t>C. BREEAM</t>
  </si>
  <si>
    <t>D. PUNTO VERDE</t>
  </si>
  <si>
    <t>E. CONSTRUCCIÓN AVAL SEA</t>
  </si>
  <si>
    <t>A. Maquinaria y equipos</t>
  </si>
  <si>
    <t>B. Aires acondicionados</t>
  </si>
  <si>
    <t>C. Electrodomésticos</t>
  </si>
  <si>
    <t>D. Iluminación LED</t>
  </si>
  <si>
    <t>E. Cocinas de inducción</t>
  </si>
  <si>
    <t>02.A</t>
  </si>
  <si>
    <t>02.B</t>
  </si>
  <si>
    <t>DATOS</t>
  </si>
  <si>
    <t>Antigüedad</t>
  </si>
  <si>
    <t>Tiempo de uso</t>
  </si>
  <si>
    <t>&lt; 10 años</t>
  </si>
  <si>
    <t>&gt; 10 años</t>
  </si>
  <si>
    <t>[1-8]</t>
  </si>
  <si>
    <t>[8-16]</t>
  </si>
  <si>
    <t>[16-24]</t>
  </si>
  <si>
    <t>AIRE ACONDICIONADO</t>
  </si>
  <si>
    <t>horas/día</t>
  </si>
  <si>
    <t>Actual</t>
  </si>
  <si>
    <t>Días al año</t>
  </si>
  <si>
    <t>1 / 3412,14</t>
  </si>
  <si>
    <t>CÁLCULOS</t>
  </si>
  <si>
    <t>Factor de emisión</t>
  </si>
  <si>
    <t>100*1,163/1000</t>
  </si>
  <si>
    <t>RESULTADOS</t>
  </si>
  <si>
    <t>[d/a]</t>
  </si>
  <si>
    <t>tCO2/MWh</t>
  </si>
  <si>
    <t>tCO2/año</t>
  </si>
  <si>
    <t>Emisiones evitadas</t>
  </si>
  <si>
    <t>No de árboles plantados</t>
  </si>
  <si>
    <t>Área a consumo</t>
  </si>
  <si>
    <t>árboles/t</t>
  </si>
  <si>
    <t>árboles</t>
  </si>
  <si>
    <t>Equipo nuevo</t>
  </si>
  <si>
    <t>Ahorro</t>
  </si>
  <si>
    <t>02.C</t>
  </si>
  <si>
    <t>02.D</t>
  </si>
  <si>
    <t>Iluminación LED o sistemas de control y automatización de luminarias (domótica)</t>
  </si>
  <si>
    <t>Ventajas de la tecnología</t>
  </si>
  <si>
    <t>ILUMINACION LED</t>
  </si>
  <si>
    <t>W</t>
  </si>
  <si>
    <t>-</t>
  </si>
  <si>
    <t>Tipo</t>
  </si>
  <si>
    <t>Tipo de luminaria</t>
  </si>
  <si>
    <t>Vapor de sodio</t>
  </si>
  <si>
    <t>Halógeno</t>
  </si>
  <si>
    <t>Fluorescente</t>
  </si>
  <si>
    <t>Incandescente</t>
  </si>
  <si>
    <t>Potencia eléctrica LED</t>
  </si>
  <si>
    <t>Cantidad luminarias</t>
  </si>
  <si>
    <t>GRÁFICO</t>
  </si>
  <si>
    <t>01.A</t>
  </si>
  <si>
    <t>-Reducción en el consumo de recursos, aumento del valor y creación de entornos más seguros y saludables para sus ocupantes.
-Reducción en el consumo de energía, agua, desechos durante la fabricación, la huella de carbono durante la distribución y el transporte y las emisiones de carbono en general durante todo el ciclo de vida de la producción.</t>
  </si>
  <si>
    <t>Excellence in Design for Greater Efficiencies (EDGE)</t>
  </si>
  <si>
    <t>01.B</t>
  </si>
  <si>
    <t>Biomasa - biodigestores</t>
  </si>
  <si>
    <t>¿Indique aproximadamente el número de animales de los cuales se van a recolectar diariamente las excretas para el biodigestor?</t>
  </si>
  <si>
    <t>¿Los animales o aves están en establos o en corrales respectivamente?</t>
  </si>
  <si>
    <t>Estado inicial</t>
  </si>
  <si>
    <t>Estiercol depositado directamente en el suelo, emisiones de metano al ambiente</t>
  </si>
  <si>
    <t xml:space="preserve">Estado final </t>
  </si>
  <si>
    <t>Cálculo de las emisiones de CO2 evitadas en comparación con lo que se esperaría generar por GLP para la producción de energía</t>
  </si>
  <si>
    <t>Fórmulas de cálculo</t>
  </si>
  <si>
    <t>Producción diaria de estiércol (Kg estiércol)</t>
  </si>
  <si>
    <t xml:space="preserve"> =  Tasa de producción diaria por tipo de ganado*N</t>
  </si>
  <si>
    <t>Producción diaria de biogás  (m3 biogas/día)</t>
  </si>
  <si>
    <t xml:space="preserve"> =   Producción diaria de estiércol* tasa de producción de estiércol</t>
  </si>
  <si>
    <t xml:space="preserve">Producción anual de biogás (m3/año) </t>
  </si>
  <si>
    <t xml:space="preserve"> =  Producción diaria de biogás  (m3 biogas/día)*365</t>
  </si>
  <si>
    <t xml:space="preserve">Ton evitadas considerando como combustible GLP (CO2/año) </t>
  </si>
  <si>
    <t>Datos requeridos</t>
  </si>
  <si>
    <t>¿Indique el origen de las excretas a ingresar al biodigestor?</t>
  </si>
  <si>
    <t>Calculos</t>
  </si>
  <si>
    <t>Resultados</t>
  </si>
  <si>
    <t>Cantidad anual biogas (m3/año)</t>
  </si>
  <si>
    <t>Datos  bibliográficos</t>
  </si>
  <si>
    <t>Parámetro</t>
  </si>
  <si>
    <t>Tasa de producción diaria de estiércol fresco</t>
  </si>
  <si>
    <t>Tasa de producción de biogás por Kg de estiércol</t>
  </si>
  <si>
    <t>Datos generales del estiércol</t>
  </si>
  <si>
    <t>Tipo de animal*</t>
  </si>
  <si>
    <t>Kg/animal*dia</t>
  </si>
  <si>
    <t>m3/Kg estiércol fresco</t>
  </si>
  <si>
    <t>Sólidos totales</t>
  </si>
  <si>
    <t xml:space="preserve">Bovino </t>
  </si>
  <si>
    <t>Porcino</t>
  </si>
  <si>
    <t xml:space="preserve">Avícola </t>
  </si>
  <si>
    <t>SI</t>
  </si>
  <si>
    <t>No</t>
  </si>
  <si>
    <t xml:space="preserve">* Se consideraron los datos para ganado bovino con un peso promedio de 300 Kg, porcion de 50 Kg y aves de 2Kg. </t>
  </si>
  <si>
    <t>Fuentes:</t>
  </si>
  <si>
    <t>https://repositorio.cepal.org/bitstream/handle/11362/45026/1/S1901187_es.pdf</t>
  </si>
  <si>
    <t>https://revistas.unl.edu.ec/index.php/cedamaz/article/view/62</t>
  </si>
  <si>
    <t>https://www.google.com/url?sa=t&amp;rct=j&amp;q=&amp;esrc=s&amp;source=web&amp;cd=&amp;cad=rja&amp;uact=8&amp;ved=2ahUKEwig38W5mOf-AhUXUjABHUV_ALcQFnoECAwQAQ&amp;url=https%3A%2F%2Frepository.unab.edu.co%2Fhandle%2F20.500.12749%2F1477&amp;usg=AOvVaw3mKg02bgJYh6xlxm2CN752</t>
  </si>
  <si>
    <t>https://www.gba.gob.ar/sites/default/files/agroindustria/docs/Manual_de_Biogas01.pdf</t>
  </si>
  <si>
    <t>Si</t>
  </si>
  <si>
    <t>Datos</t>
  </si>
  <si>
    <t xml:space="preserve">Cantidad anual de energía generada </t>
  </si>
  <si>
    <t xml:space="preserve">Cantidad anual biogás </t>
  </si>
  <si>
    <t>m3/año</t>
  </si>
  <si>
    <t>kWh/año</t>
  </si>
  <si>
    <t>01.C</t>
  </si>
  <si>
    <t>Building Research Establishment Environmental Assessment Methodology (BREEAM)</t>
  </si>
  <si>
    <t>01.D</t>
  </si>
  <si>
    <t>A. Certificaciones agrícolas sostenibles</t>
  </si>
  <si>
    <t>B. Fertirrigación/ hidroponía</t>
  </si>
  <si>
    <t>C. Riego por goteo o microaspersión</t>
  </si>
  <si>
    <t>D. Invernaderos: hidroponia y gestión desechos</t>
  </si>
  <si>
    <t>-Solución de capitalizar el valor de los edificios verdes mediante la promoción de los beneficios para los clientes, mientras se protege el medioambiente.
-Reducción de costos de servicios públicos (agua y electricidad) con relación a otro tipo de edificaciones.</t>
  </si>
  <si>
    <t>-Disminución del consumo energético en un 30% y 40% respecto a un edificio que cumpla únicamente la normativa de obligado cumplimiento vigente. Además, las emisiones de CO2 se estiman entre un 36% y un 40% menos.
-Aumento en la demanda de los edificios por los beneficios que supone para el arrendador y para el usuario un inmueble de estas características.</t>
  </si>
  <si>
    <t>-Mejora la eficiencia de los procesos, lo que conlleva a ahorros económicos por reducción del uso de materia prima, insumos y recursos
-Posicionamiento competitivo en el mercado nacional, y uso del logo Punto Verde.
-Prevención y reducción de impactos ambientales.</t>
  </si>
  <si>
    <t>A. Agua lluvia</t>
  </si>
  <si>
    <t>B. PTAR</t>
  </si>
  <si>
    <t>C. Reservorios o albarradas</t>
  </si>
  <si>
    <t>D. Recuperación de agua</t>
  </si>
  <si>
    <t>04.A</t>
  </si>
  <si>
    <t>Sistemas de recolección, almacenamiento y distribución de agua de lluvia</t>
  </si>
  <si>
    <t>m3 agua lluvia recuperada/año</t>
  </si>
  <si>
    <t>1. Sistemas de recolección, almacenamiento y distribución de agua de lluvia</t>
  </si>
  <si>
    <t>Agua lluvia se pierde por escorrentía sin aprovechamiento</t>
  </si>
  <si>
    <t>Cálculo del volumen anual de agua lluvia captado para usos varios</t>
  </si>
  <si>
    <t>No. veces de recarga del tanque al año</t>
  </si>
  <si>
    <t xml:space="preserve"> =  365/período de recarga del tanque*f</t>
  </si>
  <si>
    <t>Volumen anual de agua captada (m3)</t>
  </si>
  <si>
    <t xml:space="preserve"> =   No. veces de recargas del tanque al año*volumen del reservorio</t>
  </si>
  <si>
    <t>% recuperación anual anual (f)</t>
  </si>
  <si>
    <t xml:space="preserve"> =meses que recoge agua/12</t>
  </si>
  <si>
    <t>Ingrese los datos requeridos:</t>
  </si>
  <si>
    <t>Unidades</t>
  </si>
  <si>
    <t>¿Cuál va a ser el uso principal que le va a dar al sistema de aprovechamiento del agua lluvia?</t>
  </si>
  <si>
    <t>En el caso de "Otros Usos", por favor especifique</t>
  </si>
  <si>
    <t>¿De que capacidad será el tanque o reservorio de almacenamiento?</t>
  </si>
  <si>
    <t>¿En cuándos días estima consumir el volumen del tanque?</t>
  </si>
  <si>
    <t>días</t>
  </si>
  <si>
    <t>¿Cuántos meses al año espera captar el agua lluvia?</t>
  </si>
  <si>
    <t>meses</t>
  </si>
  <si>
    <t>Cálculos</t>
  </si>
  <si>
    <t>m3</t>
  </si>
  <si>
    <t>2. Planta de tratamiento de aguas residuales</t>
  </si>
  <si>
    <t>Efluentes domésticoscon incumplimiento de límites máximos permisibles  (concentración de contaminantes) se desargan sin tratamiento</t>
  </si>
  <si>
    <t xml:space="preserve">Las aguas residuales se descargan en cumplimiento con los límites máximos permisibles (concentración de contaminantes) de la legislación nacional </t>
  </si>
  <si>
    <t>Caudal tratado anual</t>
  </si>
  <si>
    <t xml:space="preserve"> =  365*caudal promedio (m3/día)</t>
  </si>
  <si>
    <t>Caudal promedio (m3/día) según el tamaño</t>
  </si>
  <si>
    <t>Pequeña: de 10 a 50 m³/día.</t>
  </si>
  <si>
    <t>Mediana: de 50 a 500 m³/día.</t>
  </si>
  <si>
    <t>Grande:  mayor a 500 m³/día.</t>
  </si>
  <si>
    <t>¿Para qué  tipo efluente será su planta de tratamiento?</t>
  </si>
  <si>
    <t>¿De qué capacidad será su planta de tratamiento?</t>
  </si>
  <si>
    <t>3. Construcción de reservorios o albarradas</t>
  </si>
  <si>
    <t xml:space="preserve"> = meses que recoge agua/12</t>
  </si>
  <si>
    <t>¿De cuántos meses al año espera captar el agua lluvia?</t>
  </si>
  <si>
    <t>4. Sistemas de recuperación de agua con tratamiento para reutilización 100% (industrial, agrícola o comercial)</t>
  </si>
  <si>
    <t>Efluentes domésticos o industriales sin tratamiento, es vertida a los sistemas de alcantarillado o a recuros hidrícos</t>
  </si>
  <si>
    <t>Efluentes de actividades comerciales o industriales cumplen con los límites máximos permisibles (concentración de contaminantes) de la legislación nacional y se realiza la reutilización del agua tratada, previo cumplimiento de los requisitos normativos nacionales</t>
  </si>
  <si>
    <t>Uso doméstico</t>
  </si>
  <si>
    <t>Litros</t>
  </si>
  <si>
    <t xml:space="preserve">Consumo animal </t>
  </si>
  <si>
    <t>Producción agricola</t>
  </si>
  <si>
    <t>Otros usos</t>
  </si>
  <si>
    <t>Cantidad anual agua lluvia aprovechada</t>
  </si>
  <si>
    <t>04.B</t>
  </si>
  <si>
    <t>Planta de tratamiento de aguas residuales</t>
  </si>
  <si>
    <t>La implementación de una PTAR permite cumplir con los límites máximos permisibles, exigidos por la legislación nacional, antes de su vertido en los cuerpos de agua.
-Algunos componentes de las aguas residuales, como los nutrientes, pueden ser recuperados y reutilizados como abono para la agricultura.
-Ciertas plantas de tratamiento de aguas residuales pueden producir biogás a partir de los lodos residuales, que puede ser utilizado para generar electricidad o calor, lo que reduce la necesidad de combustibles fósiles y disminuye las emisiones de gases de efecto invernadero.</t>
  </si>
  <si>
    <t>Aguas residuales domésticas</t>
  </si>
  <si>
    <t>Aguas industriales</t>
  </si>
  <si>
    <t>Cantidad anual de aguas residuales tratadas</t>
  </si>
  <si>
    <t>04.C</t>
  </si>
  <si>
    <t>Construcción de reservorios o albarradas</t>
  </si>
  <si>
    <t>Permiten almacenar agua durante períodos de lluvia intensa y liberarla gradualmente, para su uso de riego en el campo durante la temporada de sequía. La construcción de albarradas ayuda a controlar la erosión del suelo, ya que retiene el agua y evita que el suelo se desplace.</t>
  </si>
  <si>
    <t>04.D</t>
  </si>
  <si>
    <t>Sistemas de recuperación de agua con tratamiento para reutilización 100% (industrial, agrícola o comercial)</t>
  </si>
  <si>
    <t>El uso de aguas residuales recicladas y tratadas puede aliviar la presión sobre los suministros de agua dulce utilizados para fines agrícolas, turísticos, viveros, etc. El reciclaje y la reutilización de las aguas residuales industriales in situ, para reutilizarlas en diversos procesos industriales, permiten ahorrar considerablemente los costos de transporte, eliminación y energía.</t>
  </si>
  <si>
    <t xml:space="preserve">Aguas industriales </t>
  </si>
  <si>
    <t>A. Centros de reciclaje</t>
  </si>
  <si>
    <t>B. Empresas de recolección</t>
  </si>
  <si>
    <t>C. Empresas de gestión</t>
  </si>
  <si>
    <t>D. Compostaje</t>
  </si>
  <si>
    <t>Centros de reciclaje y/o centros de recompra de materiales reciclables</t>
  </si>
  <si>
    <t xml:space="preserve">Los centros reciclaje permiten recuperar residuos como papel, plástico, metales, etc para ser reutilizados, para su posterior  valorización material o energética; esto reduce la cantidad de materiales que terminarían en un vertedero alargando su vida útil. Permite fomentar la organización de recicladores de manera estructurada para incrementar las fuentes de empleo </t>
  </si>
  <si>
    <t>Toneladas recicladas/año</t>
  </si>
  <si>
    <t>06.A</t>
  </si>
  <si>
    <t xml:space="preserve">1. Centros de reciclaje y/o centros de recompra de materiales reciclables  </t>
  </si>
  <si>
    <t>Residuos reciclables no recuperados que son desechados en vertederos o rellenos sanitarios</t>
  </si>
  <si>
    <t>Cantidad de materiales reciclables recuperados, clasificados y embalados para su valorización material o energética</t>
  </si>
  <si>
    <t>Cantidad de material reciclado (Tn/año)</t>
  </si>
  <si>
    <t>=     Cantidad recuperada por día (Kg)*365/1000</t>
  </si>
  <si>
    <t>Indique los tipos de residuos y la cantidad que espera recuperar por día</t>
  </si>
  <si>
    <t>Tipo de gestión</t>
  </si>
  <si>
    <t>Tipo de material recuperado</t>
  </si>
  <si>
    <t>Marque</t>
  </si>
  <si>
    <t xml:space="preserve">Cantidad aproximada por día </t>
  </si>
  <si>
    <t>Un.</t>
  </si>
  <si>
    <t>Papel y cartón</t>
  </si>
  <si>
    <t>Kg</t>
  </si>
  <si>
    <t>Plástico</t>
  </si>
  <si>
    <t>Metales</t>
  </si>
  <si>
    <t>¿Con cuántos recicladores espera trabajar?</t>
  </si>
  <si>
    <t>Gestión por tipo de residuo</t>
  </si>
  <si>
    <t>Tn/año</t>
  </si>
  <si>
    <t xml:space="preserve">Cantidad de material recuperados </t>
  </si>
  <si>
    <t>Total de recicladores beneficiados</t>
  </si>
  <si>
    <t>Personas</t>
  </si>
  <si>
    <t xml:space="preserve">2. Empresas de recolección de material de reciclaje   </t>
  </si>
  <si>
    <t xml:space="preserve">3. Empresas de gestión de residuos especiales  </t>
  </si>
  <si>
    <t>Residuos especiales no recuperados que son desechados en vertederos o rellenos sanitarios</t>
  </si>
  <si>
    <t>Cantidad de residuos especiales recuperados para su valorización material y energética</t>
  </si>
  <si>
    <t>4. Instalaciones para la producción de compostaje a partir de residuos orgánicos</t>
  </si>
  <si>
    <t>Residuos orgánicos no recuperados que son desechados en vertederos o rellenos sanitarios</t>
  </si>
  <si>
    <t>Cantidad de residuos orgánicos valorizados para la producción de compost</t>
  </si>
  <si>
    <t>¿Qué cantidad de residuos orgánicos espera recuperar diariamente ?</t>
  </si>
  <si>
    <t>Cantidad de materia orgánica aprovechada</t>
  </si>
  <si>
    <t>Venta a empresas como materia prima</t>
  </si>
  <si>
    <t>Exportación</t>
  </si>
  <si>
    <t>Valorización energética</t>
  </si>
  <si>
    <t>Otros procesos</t>
  </si>
  <si>
    <t>Indique los tipos de residuos y  cantidad que espera recuperar por día.</t>
  </si>
  <si>
    <t xml:space="preserve">Cantidad aprox. por día </t>
  </si>
  <si>
    <t>kg</t>
  </si>
  <si>
    <t>06.B</t>
  </si>
  <si>
    <t>06.C</t>
  </si>
  <si>
    <t>06.D</t>
  </si>
  <si>
    <t xml:space="preserve">Empresas de recolección de material de reciclaje   </t>
  </si>
  <si>
    <t>Ton recicladas/año</t>
  </si>
  <si>
    <t xml:space="preserve">Contar con empresas de reciclaje tiene varias ventajas:
-Contribuyen al cuidado del medio ambiente, pues  contribuyen a la reducción de la cantidad de basura que termina en vertederos y océanos.
-Proporcionan empleo a personas que de otra manera podrían estar desempleadas o trabajando en condiciones precarias.
-Contribuyen al desarrollo económico local. </t>
  </si>
  <si>
    <t xml:space="preserve">Empresas de gestión de residuos especiales  </t>
  </si>
  <si>
    <t>Ton recuperadas/año</t>
  </si>
  <si>
    <t>Una empresa de reciclaje de residuos especiales contribuye a proteger el medio ambiente mediante la reducción de los residuos peligrosos que se podrìan eliminar a vertederos.
-Facilita a las organizaciones el cumplimiento de regulaciones ambientales .
-Contribuyen a reducir los costos de eliminación de residuos, proveen una solucion alternativa a la compra de nuevos materiales para procesos de manufactura.</t>
  </si>
  <si>
    <t xml:space="preserve">Venta </t>
  </si>
  <si>
    <t>Recuperación de materiales valiosos</t>
  </si>
  <si>
    <t>Disposición final</t>
  </si>
  <si>
    <t>Llantas</t>
  </si>
  <si>
    <t>Instalaciones para la producción de compostaje a partir de residuos orgánicos</t>
  </si>
  <si>
    <t>Reducen a cantidad de residuos orgánicos que se envían a los vertederos.
Producen abono orgánico que se puede utilizar como fertilizante para plantas y cultivos, mejorando la calidad del suelo y reduciendo la necesidad de fertilizantes químicos. Se genera empleos y desarrollo local tanto en la recolección y transporte de residuos orgánicos, como en el procesamiento y venta del abono orgánico producido. El tiempo de compostaje dura entre 2 a 6 meses dependiendo de las características de la materia orgánica, temperatura, humedad y aireación</t>
  </si>
  <si>
    <t>05.A</t>
  </si>
  <si>
    <t>Better Cotton Initiative</t>
  </si>
  <si>
    <t>Biosuisse (Certificación Orgánica de Suiza)</t>
  </si>
  <si>
    <t>Bonsucro</t>
  </si>
  <si>
    <t>BPA (Agrocalidad)</t>
  </si>
  <si>
    <t>CEE 834/2007 - 889/2008</t>
  </si>
  <si>
    <t>Certificación canadiense para productos orgánicos (Canada-Organic)</t>
  </si>
  <si>
    <t>Certificación dada por la Organización Internacional de Comercio Justo (Fair Trade)</t>
  </si>
  <si>
    <t>Certificado Flor Ecuador</t>
  </si>
  <si>
    <t>Coffee And Farmer Equity Practices- Starbucks</t>
  </si>
  <si>
    <t>Demeter (agricultura biodinámica)</t>
  </si>
  <si>
    <t>Distintivo Iniciativa Verde a la producción Agropecuaria Libre de Deforestación</t>
  </si>
  <si>
    <t>Fair trade sustaniability Alliance (FAIRTSA)</t>
  </si>
  <si>
    <t>FSMA (Inocuidad alimentaria de USA</t>
  </si>
  <si>
    <t>Global GAP</t>
  </si>
  <si>
    <t>IFOAM</t>
  </si>
  <si>
    <t>ISCC (Food, Bio-Based Products, Feed, Energy)</t>
  </si>
  <si>
    <t>Japanese Agricultural Organic Standards JAS- Organic Certification</t>
  </si>
  <si>
    <t>KOC (Korean Organic Certification)</t>
  </si>
  <si>
    <t>MABIO para centros de faenamiento (Agrocalidad)</t>
  </si>
  <si>
    <t>Naturland (Certificación Orgánica)</t>
  </si>
  <si>
    <t>ProTerra</t>
  </si>
  <si>
    <t>Rainforest Alliance Standard</t>
  </si>
  <si>
    <t>Roundtable on Responsible Soy (RTRS)</t>
  </si>
  <si>
    <t>Roundtable on Sustainable Biomass (RSB)</t>
  </si>
  <si>
    <t>Roundtable on Sustainable Palm Oil (RSPO)</t>
  </si>
  <si>
    <t>SistemaB</t>
  </si>
  <si>
    <t>Soil Association Organic</t>
  </si>
  <si>
    <t>SPP (Símbolo de Pequeños Productores)</t>
  </si>
  <si>
    <t>USDA ORGANIC</t>
  </si>
  <si>
    <t>UTZ Kapeh Certified</t>
  </si>
  <si>
    <t>Hectáreas certificadas (ha)</t>
  </si>
  <si>
    <t>Producción agrícola orgánica o empresas agrícolas con certificaciones elegibles</t>
  </si>
  <si>
    <t>ha</t>
  </si>
  <si>
    <t>BIODIGESTORES</t>
  </si>
  <si>
    <t>Ton evitadas considerando como combustible GLP (CO2/año)</t>
  </si>
  <si>
    <t>-Diferenciar el producto de otros productos, lo cual da acceso a promoverlo en distintos mercados. 
-Mejora la posibilidad de ingresar a nuevos y mejores mercados, incluso mercados internacionales, lo cual puede generar un aumento de precio.
-Reducción de la erosión del suelo, y con ello de los costos de mantenimiento de infraestructura.
-Mejora de la calidad del agua, aire y aumento de la biodiversidad.</t>
  </si>
  <si>
    <t>05.B</t>
  </si>
  <si>
    <t>05.C</t>
  </si>
  <si>
    <t>Sistemas de riego por goteo o microaspersión</t>
  </si>
  <si>
    <t>Sistema de fertirrigación/ hidroponía con insumos orgánicos o sello verde</t>
  </si>
  <si>
    <t>05.D</t>
  </si>
  <si>
    <t>Invernaderos con sistemas hidropónicos y gestión adecuada de desecho</t>
  </si>
  <si>
    <t>05.E</t>
  </si>
  <si>
    <t>05.F</t>
  </si>
  <si>
    <t>Lombricomposta</t>
  </si>
  <si>
    <t>05.G</t>
  </si>
  <si>
    <t>05.H</t>
  </si>
  <si>
    <t>ISO 34101 para cacao sostenible y trazable</t>
  </si>
  <si>
    <t>Implementación de buenas prácticas agrícolas, protección del ambiente y la mejora en la condición social y las vidas de los agricultores en toda la cadena de abastecimiento del cacao.</t>
  </si>
  <si>
    <t>Comercialización de productos orgánicos y/o insumos orgánicos para agricultura</t>
  </si>
  <si>
    <t>Kg productos orgánicos comercializados por año (kg/año)</t>
  </si>
  <si>
    <t>kg/año</t>
  </si>
  <si>
    <t>Cantidad</t>
  </si>
  <si>
    <t>CERTIFICACION ORGÀNICA</t>
  </si>
  <si>
    <t>Productos orgánicos</t>
  </si>
  <si>
    <t>Insumos orgánicos</t>
  </si>
  <si>
    <t>Certificado de Producción Libre de Deforestación, Cultivos de árboles y aprovechamiento sostenible de bosques naturales con certificación  FSC, VCS. Reconocimiento Forestal del MAATE, Reconocimiento forestal maderable con reconocimiento, Punto Verde Forestal</t>
  </si>
  <si>
    <t>CERTIFICACIONES FORESTALES SOSTENIBLES</t>
  </si>
  <si>
    <t>Certificaciones forestales aplicables</t>
  </si>
  <si>
    <t>Certificaciones agrícolas aplicables</t>
  </si>
  <si>
    <t>Forest Stewardship Council (FSC)</t>
  </si>
  <si>
    <t>Program for the Endorsement of Forest Certification (PEFC)</t>
  </si>
  <si>
    <t>Reconocimiento Forestal Punto Verde</t>
  </si>
  <si>
    <t>REFA (Red de Forestería Análoga)</t>
  </si>
  <si>
    <t>CERTIFICACIONES AGRÍCOLAS SOSTENIBLES</t>
  </si>
  <si>
    <t>https://www.totaline.com.ar/wp-content/uploads/2016/08/28-Cat%C3%A1logo-Motores-Weg.pdf</t>
  </si>
  <si>
    <t>IE3 Pot nom</t>
  </si>
  <si>
    <t>IE3 eff@Pot nom</t>
  </si>
  <si>
    <t>IE2 Pot nom</t>
  </si>
  <si>
    <t>IE2 eff@Pot nom</t>
  </si>
  <si>
    <t>IE1 Pot nom [kW]</t>
  </si>
  <si>
    <t>IE1 eff@Pot nom</t>
  </si>
  <si>
    <t>MOTORES EFICIENTES</t>
  </si>
  <si>
    <t>ASUMIDOS</t>
  </si>
  <si>
    <t>Datos de eficiencias tomados del modelo w22 de WEG. Motor de inducción trifásico a plena carga.</t>
  </si>
  <si>
    <t>II polos</t>
  </si>
  <si>
    <t>IV polos</t>
  </si>
  <si>
    <t>VI polos</t>
  </si>
  <si>
    <t>VIII polos</t>
  </si>
  <si>
    <t>RTE INEN 145 (2017) "Eficiencia energética en motores eléctricos", criterios establecidos en IEC 60034-1 
(De conformidad con los objetivos legítimos del país sobre Eficiencia Energética; en el Ecuador se permite únicamente la comercialización de motores eléctricos de inducción de clase de eficiencia IE2 o superior)</t>
  </si>
  <si>
    <t>kW</t>
  </si>
  <si>
    <t>HP</t>
  </si>
  <si>
    <t>IE1</t>
  </si>
  <si>
    <t>IE2</t>
  </si>
  <si>
    <t>IE3</t>
  </si>
  <si>
    <t>DATOS USUARIO</t>
  </si>
  <si>
    <t>VARIABLES</t>
  </si>
  <si>
    <t>Potencia nominal</t>
  </si>
  <si>
    <t>hp</t>
  </si>
  <si>
    <t>0,75 HP (0,55 kW)</t>
  </si>
  <si>
    <t>Lista</t>
  </si>
  <si>
    <t>eff ante</t>
  </si>
  <si>
    <t>Cantidad de motores</t>
  </si>
  <si>
    <t>0,16 HP (0,12 kW)</t>
  </si>
  <si>
    <t>Tipo de eficiencia</t>
  </si>
  <si>
    <t>IE2/IE3</t>
  </si>
  <si>
    <t>0,25 HP (0,18 kW)</t>
  </si>
  <si>
    <t>0,33 HP (0,25 kW)</t>
  </si>
  <si>
    <t>&lt;&gt;</t>
  </si>
  <si>
    <t>&gt; 5 años o con reparaciones</t>
  </si>
  <si>
    <t>0,5 HP (0,37 kW)</t>
  </si>
  <si>
    <t>DATOS CÁLCULOS</t>
  </si>
  <si>
    <t>effIE2/IE3</t>
  </si>
  <si>
    <t>1 HP (0,75 kW)</t>
  </si>
  <si>
    <t>&lt; 5 años sin reparaciones</t>
  </si>
  <si>
    <t>EffIE1</t>
  </si>
  <si>
    <t>1,5 HP (1,1 kW)</t>
  </si>
  <si>
    <t>Eff ant</t>
  </si>
  <si>
    <t>2 HP (1,5 kW)</t>
  </si>
  <si>
    <t>3 HP (2,2 kW)</t>
  </si>
  <si>
    <t>4 HP (3 kW)</t>
  </si>
  <si>
    <t>5 HP (3,7 kW)</t>
  </si>
  <si>
    <t>6 HP (4,5 kW)</t>
  </si>
  <si>
    <t>7,5 HP (5,5 kW)</t>
  </si>
  <si>
    <t>10 HP (7,5 kW)</t>
  </si>
  <si>
    <t>12,5 HP (9,2 kW)</t>
  </si>
  <si>
    <t>15 HP (11 kW)</t>
  </si>
  <si>
    <t>Eficiencia motor nuevo</t>
  </si>
  <si>
    <t>%</t>
  </si>
  <si>
    <t>20 HP (15 kW)</t>
  </si>
  <si>
    <t>Consumo motor nuevo</t>
  </si>
  <si>
    <t>25 HP (18,5 kW)</t>
  </si>
  <si>
    <t>Eficiencia motor antiguo</t>
  </si>
  <si>
    <t>30 HP (22 kW)</t>
  </si>
  <si>
    <t>Consumo motor antiguo</t>
  </si>
  <si>
    <t>40 HP (30 kW)</t>
  </si>
  <si>
    <t>Ahorro energético</t>
  </si>
  <si>
    <t>50 HP (37 kW)</t>
  </si>
  <si>
    <t>Emisiones actuales</t>
  </si>
  <si>
    <t>60 HP (45 kW)</t>
  </si>
  <si>
    <t>75 HP (55 kW)</t>
  </si>
  <si>
    <t>Eq árboles plantados</t>
  </si>
  <si>
    <t>100 HP (75 kW)</t>
  </si>
  <si>
    <t>125 HP (90 kW)</t>
  </si>
  <si>
    <t>150 HP (110 kW)</t>
  </si>
  <si>
    <t>180 HP (132 kW)</t>
  </si>
  <si>
    <t>200 HP (150 kW)</t>
  </si>
  <si>
    <t>250 HP (185 kW)</t>
  </si>
  <si>
    <t>270 HP (200 kW)</t>
  </si>
  <si>
    <t>Dato de entrada</t>
  </si>
  <si>
    <t>PR/Áac</t>
  </si>
  <si>
    <t>Potencia Refrigerativa</t>
  </si>
  <si>
    <t>Área a acondicionar</t>
  </si>
  <si>
    <t>Potencia Refrigerativa/Área a acondicionar</t>
  </si>
  <si>
    <r>
      <rPr>
        <i/>
        <sz val="11"/>
        <color rgb="FFFFFF00"/>
        <rFont val="Arial"/>
        <family val="2"/>
        <scheme val="minor"/>
      </rPr>
      <t>BTU/h</t>
    </r>
    <r>
      <rPr>
        <i/>
        <sz val="11"/>
        <color theme="3"/>
        <rFont val="Arial"/>
        <family val="2"/>
        <scheme val="minor"/>
      </rPr>
      <t xml:space="preserve"> </t>
    </r>
    <r>
      <rPr>
        <i/>
        <sz val="11"/>
        <color theme="1"/>
        <rFont val="Arial"/>
        <family val="2"/>
        <scheme val="minor"/>
      </rPr>
      <t xml:space="preserve"> </t>
    </r>
    <r>
      <rPr>
        <i/>
        <sz val="11"/>
        <color rgb="FFFF0000"/>
        <rFont val="Arial"/>
        <family val="2"/>
        <scheme val="minor"/>
      </rPr>
      <t>/</t>
    </r>
    <r>
      <rPr>
        <i/>
        <sz val="11"/>
        <color theme="1"/>
        <rFont val="Arial"/>
        <family val="2"/>
        <scheme val="minor"/>
      </rPr>
      <t xml:space="preserve">  </t>
    </r>
    <r>
      <rPr>
        <i/>
        <sz val="11"/>
        <color rgb="FF00B0F0"/>
        <rFont val="Arial"/>
        <family val="2"/>
        <scheme val="minor"/>
      </rPr>
      <t>m2</t>
    </r>
  </si>
  <si>
    <t>Potencia eléctrica</t>
  </si>
  <si>
    <t>Consumo eq nuevo</t>
  </si>
  <si>
    <t>Potencia eq antiguo</t>
  </si>
  <si>
    <t>Consumo eq antiguo</t>
  </si>
  <si>
    <t>Eq Eterm/Eel</t>
  </si>
  <si>
    <t>Consumo lum nuevas</t>
  </si>
  <si>
    <t>Consumo lum ant</t>
  </si>
  <si>
    <t>FE del GLP calculado y asumido como el FE del GN del IFESNI2021</t>
  </si>
  <si>
    <t>COCINAS DE INDUCCIÓN</t>
  </si>
  <si>
    <t>https://www.fiec.espol.edu.ec/es/fiecriteria-n-2-las-cocinas-de-induccion </t>
  </si>
  <si>
    <t>253,33 kWh/cilindro de gas15kg</t>
  </si>
  <si>
    <t>Tipo de cocina reemplazada</t>
  </si>
  <si>
    <t>Energía eficaz</t>
  </si>
  <si>
    <t>kWh/mes</t>
  </si>
  <si>
    <t>Energético consumido</t>
  </si>
  <si>
    <r>
      <rPr>
        <i/>
        <sz val="11"/>
        <color theme="9" tint="-0.499984740745262"/>
        <rFont val="Arial"/>
        <family val="2"/>
        <scheme val="minor"/>
      </rPr>
      <t xml:space="preserve">#cil15kg/mes </t>
    </r>
    <r>
      <rPr>
        <i/>
        <sz val="11"/>
        <color theme="1"/>
        <rFont val="Arial"/>
        <family val="2"/>
        <scheme val="minor"/>
      </rPr>
      <t xml:space="preserve"> </t>
    </r>
    <r>
      <rPr>
        <i/>
        <sz val="11"/>
        <color rgb="FFFF0000"/>
        <rFont val="Arial"/>
        <family val="2"/>
        <scheme val="minor"/>
      </rPr>
      <t>/</t>
    </r>
    <r>
      <rPr>
        <i/>
        <sz val="11"/>
        <color theme="1"/>
        <rFont val="Arial"/>
        <family val="2"/>
        <scheme val="minor"/>
      </rPr>
      <t xml:space="preserve"> </t>
    </r>
    <r>
      <rPr>
        <i/>
        <sz val="11"/>
        <color rgb="FFFFFF00"/>
        <rFont val="Arial"/>
        <family val="2"/>
        <scheme val="minor"/>
      </rPr>
      <t xml:space="preserve"> kWh/mes</t>
    </r>
  </si>
  <si>
    <t>Consumo cocina anterior</t>
  </si>
  <si>
    <t>Consumo cocina actual</t>
  </si>
  <si>
    <t>Tipo de cocina,</t>
  </si>
  <si>
    <t>Actual (Inducción)</t>
  </si>
  <si>
    <t>Eléctrica</t>
  </si>
  <si>
    <t>A gas</t>
  </si>
  <si>
    <t>Meses al año</t>
  </si>
  <si>
    <t>[m/a]</t>
  </si>
  <si>
    <t>NTE INEN 111</t>
  </si>
  <si>
    <t>CPE INEN-NEC-SE-IG 26-11</t>
  </si>
  <si>
    <t>Energía en un cil de GLP 15kg</t>
  </si>
  <si>
    <t>kWh/cilGLP15kg</t>
  </si>
  <si>
    <t>NTE INEN 2266</t>
  </si>
  <si>
    <t>RTE INEN 008</t>
  </si>
  <si>
    <t>RTE INEN 035</t>
  </si>
  <si>
    <t>De conformidad con los objetivos legítimos del país sobre eficiencia energética, en el
Ecuador se permite únicamente la comercialización de los aparatos de refrigeración
domésticos de hasta 850 litros operados por compresor hermético del rango energético A.</t>
  </si>
  <si>
    <t>Refrigeradoras</t>
  </si>
  <si>
    <t>RTE INEN 2206</t>
  </si>
  <si>
    <t>NTE INEN-IEC 62552</t>
  </si>
  <si>
    <t>A</t>
  </si>
  <si>
    <t>B</t>
  </si>
  <si>
    <t>Unidades de Volumen</t>
  </si>
  <si>
    <t>Volumen en litros</t>
  </si>
  <si>
    <t>Volumen en pies cúbicos</t>
  </si>
  <si>
    <t>C</t>
  </si>
  <si>
    <r>
      <rPr>
        <i/>
        <sz val="11"/>
        <color rgb="FF00B050"/>
        <rFont val="Arial"/>
        <family val="2"/>
        <scheme val="minor"/>
      </rPr>
      <t>L</t>
    </r>
    <r>
      <rPr>
        <i/>
        <sz val="11"/>
        <color theme="3"/>
        <rFont val="Arial"/>
        <family val="2"/>
        <scheme val="minor"/>
      </rPr>
      <t xml:space="preserve"> </t>
    </r>
    <r>
      <rPr>
        <i/>
        <sz val="11"/>
        <color theme="1"/>
        <rFont val="Arial"/>
        <family val="2"/>
        <scheme val="minor"/>
      </rPr>
      <t xml:space="preserve"> </t>
    </r>
    <r>
      <rPr>
        <i/>
        <sz val="11"/>
        <color rgb="FFFF0000"/>
        <rFont val="Arial"/>
        <family val="2"/>
        <scheme val="minor"/>
      </rPr>
      <t>/</t>
    </r>
    <r>
      <rPr>
        <i/>
        <sz val="11"/>
        <color theme="1"/>
        <rFont val="Arial"/>
        <family val="2"/>
        <scheme val="minor"/>
      </rPr>
      <t xml:space="preserve">  </t>
    </r>
    <r>
      <rPr>
        <i/>
        <sz val="11"/>
        <color rgb="FF00B0F0"/>
        <rFont val="Arial"/>
        <family val="2"/>
        <scheme val="minor"/>
      </rPr>
      <t>pies3</t>
    </r>
  </si>
  <si>
    <t>D</t>
  </si>
  <si>
    <t>&lt; 10 años  /  &gt; 10 años</t>
  </si>
  <si>
    <t>E</t>
  </si>
  <si>
    <t xml:space="preserve"> eficiencia</t>
  </si>
  <si>
    <t>ax</t>
  </si>
  <si>
    <t>+b</t>
  </si>
  <si>
    <t>F</t>
  </si>
  <si>
    <t>G</t>
  </si>
  <si>
    <t>Volumen</t>
  </si>
  <si>
    <t>L</t>
  </si>
  <si>
    <t>REF</t>
  </si>
  <si>
    <t>Eq volumen</t>
  </si>
  <si>
    <t>L  /  pies3</t>
  </si>
  <si>
    <t>tipo (subtropical)</t>
  </si>
  <si>
    <t>XX*VA</t>
  </si>
  <si>
    <t>CTE</t>
  </si>
  <si>
    <t>CONVENCIONAL (1 Y 3)</t>
  </si>
  <si>
    <t>4, 5, 6, 7 y 8</t>
  </si>
  <si>
    <t>Electrodomésticos y equipos con etiqueta energética “A"</t>
  </si>
  <si>
    <t>02.E</t>
  </si>
  <si>
    <t>Cocinas de inducción</t>
  </si>
  <si>
    <t>El proceso de lombricultura es una forma eficaz de reducir los residuos orgánicos, transformándolos en un producto de alta calidad que contiene nutrientes como el  nitrógeno, fósforo y potasio que puede mejorar la calidad del suelo. La lombricultura produce un fertilizante más homogéneo y fino que otros métodos de compostaje, ayudando a reducir la la necesidad de fertilizantes químicos, que a menudo tienen una huella de carbono más alta. El tiempo de compostaje dura entre 1 a 3 meses dependiendo de las características de la materia orgánica y condiciones ambientales del proceso.</t>
  </si>
  <si>
    <t>No. días operativos/año</t>
  </si>
  <si>
    <t>=     Cantidad recuperada por día (Kg)*360/1000</t>
  </si>
  <si>
    <t>personas</t>
  </si>
  <si>
    <t>Lombricompostaje</t>
  </si>
  <si>
    <t>Los sistemas hidropónicos presentan varias ventajas en comparación con la agricultura convencional, incluyendo el ahorro de agua, la mayor eficiencia en la absorción de nutrientes por tanto mayor productividad, la reducción de la contaminacición del suel y del agua por la reducción del uso de pesticidas y herbicidas químicos; sin embargo, complementar la gestión adecuada de los desechos orgáncios de estos sistemas a través del compostaje o lombricultura o bien para la alimentación de ganado, es una ventaja adicional que promueven la sostenibilidad ambiental.</t>
  </si>
  <si>
    <t>¿De que tamaño es el área del terreno que piensa cubrir?</t>
  </si>
  <si>
    <t>¿Indique el tipo de cultivo en el que implementará el sistema?</t>
  </si>
  <si>
    <t>Cultivo</t>
  </si>
  <si>
    <t>Lim</t>
  </si>
  <si>
    <t>Max</t>
  </si>
  <si>
    <t>Ciclo meses</t>
  </si>
  <si>
    <t>No cultivos/año</t>
  </si>
  <si>
    <t>Consumo promedio por ciclo</t>
  </si>
  <si>
    <t>Consumo anual (m3)</t>
  </si>
  <si>
    <t>Flores y ´plantas ornamentales</t>
  </si>
  <si>
    <t>12</t>
  </si>
  <si>
    <t>Frutillas y otras frutas pequeñas</t>
  </si>
  <si>
    <t>3-5</t>
  </si>
  <si>
    <t>Sistema de riego convencional en cultivos, con un uso intensivo del agua</t>
  </si>
  <si>
    <t>Hierbas</t>
  </si>
  <si>
    <t>3</t>
  </si>
  <si>
    <t>Lechugas y otras hojas verdes</t>
  </si>
  <si>
    <t>2-3</t>
  </si>
  <si>
    <t>Pepino</t>
  </si>
  <si>
    <t>2,5</t>
  </si>
  <si>
    <t>4</t>
  </si>
  <si>
    <t>Cantidad de agua ahorrada por año por hectárea, por la implementación de fertirrigación o hidroponía</t>
  </si>
  <si>
    <t>Pimiento</t>
  </si>
  <si>
    <t>5</t>
  </si>
  <si>
    <t>Tomate</t>
  </si>
  <si>
    <t xml:space="preserve">Zuquini </t>
  </si>
  <si>
    <t xml:space="preserve">Porcentaje de ahorro por ciclo de cultivo </t>
  </si>
  <si>
    <t>Cantidad anual  agua ahorrada por la implementación del sistema</t>
  </si>
  <si>
    <t>Cantidad de materia orgánica aprovechada por Ha</t>
  </si>
  <si>
    <t>Promedio ciclo de cultivo (meses)</t>
  </si>
  <si>
    <t>No. ciclos por año</t>
  </si>
  <si>
    <t>Peso planta (Kg)</t>
  </si>
  <si>
    <t>No. Plantas /m2</t>
  </si>
  <si>
    <t>% desechos organicos</t>
  </si>
  <si>
    <t>Flores y plantas ornamentales</t>
  </si>
  <si>
    <t xml:space="preserve">Invernaderos con sistemas hidropónicos y gestión adecuada de desecho   </t>
  </si>
  <si>
    <t>m2</t>
  </si>
  <si>
    <t>Hectárea</t>
  </si>
  <si>
    <t>Cantidad anual agua ahorrada por la implementación del sistema</t>
  </si>
  <si>
    <t>Cantidad de agua ahorrada por año por hectárea, por la implementación de riego por goteo o microaspersión</t>
  </si>
  <si>
    <t xml:space="preserve">Sistemas de riego por goteo o microaspersión   </t>
  </si>
  <si>
    <t>El riego por goteo es un método de riego eficiente y sostenible que ofrece varias ventajas sobre otros métodos de riego convencionales: ahorro en el consumo de agua, mejora la eficiencia de la fertilización y reduce las pérdidas de nutrientes, mayor precisión en la aplicación de la cantidad y frecuencia de agua, aumenta el rendimiento de los cultivos. El riego por goteo requiere menos energía para bombear el agua y distribuirla.</t>
  </si>
  <si>
    <t>Hectáreas</t>
  </si>
  <si>
    <t>Consumo de agua por año</t>
  </si>
  <si>
    <t>Promedio (m3)/ciclo</t>
  </si>
  <si>
    <t>Ciclo (meses)</t>
  </si>
  <si>
    <t>Papas</t>
  </si>
  <si>
    <t>Banano</t>
  </si>
  <si>
    <t>10-14</t>
  </si>
  <si>
    <t>Arroz</t>
  </si>
  <si>
    <t>5-6</t>
  </si>
  <si>
    <t>Frutillas</t>
  </si>
  <si>
    <t>Lechugas</t>
  </si>
  <si>
    <t>Café</t>
  </si>
  <si>
    <t>Caña de azúcar</t>
  </si>
  <si>
    <t>Caña</t>
  </si>
  <si>
    <t>12-18</t>
  </si>
  <si>
    <t>Brocoli</t>
  </si>
  <si>
    <t>Cacao</t>
  </si>
  <si>
    <t>Quinua</t>
  </si>
  <si>
    <t>Maíz</t>
  </si>
  <si>
    <t>4-6</t>
  </si>
  <si>
    <t>3-4</t>
  </si>
  <si>
    <t>Tipo de cultivo</t>
  </si>
  <si>
    <t xml:space="preserve">Sistema de fertirrigación/ hidroponía con insumos orgánicos o sello verde.  </t>
  </si>
  <si>
    <t>Papas,Zuquini ,Frutillas,Lechugas o similares</t>
  </si>
  <si>
    <t>Los sistemas de fertirrigación  e hidroponía presentan varias ventajas en comparación con la agricultura convencional, incluyendo el ahorro de agua, la mayor eficiencia en la absorción de nutrientes por tanto mayor productividad, la reducción de la contaminacición del suel y del agua por la reducción del uso de pesticidas y herbicidas químicos.</t>
  </si>
  <si>
    <t>A. Bombas de agua solares</t>
  </si>
  <si>
    <t>B. Paneles solares fotovoltaicos</t>
  </si>
  <si>
    <t>C. Cercas eléctricas fotovoltaicas</t>
  </si>
  <si>
    <t>D. Lámparas solares</t>
  </si>
  <si>
    <t>F. Biodigestores</t>
  </si>
  <si>
    <t>E. Calderas de biomasa</t>
  </si>
  <si>
    <t>03.F</t>
  </si>
  <si>
    <t>03.A</t>
  </si>
  <si>
    <t>Bombas solares de extracción de agua</t>
  </si>
  <si>
    <t>HORAS DE USO</t>
  </si>
  <si>
    <t>BOMBAS SOLARES DE EXTRACCIÓN DE AGUA</t>
  </si>
  <si>
    <t>h/d</t>
  </si>
  <si>
    <t>Consumo evitado</t>
  </si>
  <si>
    <t>PANELES FOTOVOLTAICOS DE CONEXIÓN ON GRID</t>
  </si>
  <si>
    <t>Expectativa de generación anual</t>
  </si>
  <si>
    <t>Energía anual/Potencia del sistema</t>
  </si>
  <si>
    <t>kWh/año  /  kW</t>
  </si>
  <si>
    <t>hsp</t>
  </si>
  <si>
    <t>Generación PV</t>
  </si>
  <si>
    <t>LÁMPARAS SOLARES</t>
  </si>
  <si>
    <t xml:space="preserve">Autonomía </t>
  </si>
  <si>
    <t>CERCAS ELÉCTRICAS DE FUENTE SOLAR</t>
  </si>
  <si>
    <t>CALDERAS DE BIOMASA</t>
  </si>
  <si>
    <t>Tipo de biomasa</t>
  </si>
  <si>
    <t>Consumo energético biomasa</t>
  </si>
  <si>
    <t>TJ/año</t>
  </si>
  <si>
    <t>Cantidad de biomasa diaria</t>
  </si>
  <si>
    <t>kg/d</t>
  </si>
  <si>
    <t>consumo eficaz</t>
  </si>
  <si>
    <t>Combustible reemplazado</t>
  </si>
  <si>
    <t>consumo energético reemplazado</t>
  </si>
  <si>
    <t>consumo combustible reemplazado</t>
  </si>
  <si>
    <t>eff cald Biom</t>
  </si>
  <si>
    <t>emisiones evitadas</t>
  </si>
  <si>
    <t>eff cald Combustible</t>
  </si>
  <si>
    <t>#árbolitos</t>
  </si>
  <si>
    <t>Poder calórifico</t>
  </si>
  <si>
    <t>MJ/kg</t>
  </si>
  <si>
    <t>MJ/gal</t>
  </si>
  <si>
    <t>Diésel2</t>
  </si>
  <si>
    <t>GLP</t>
  </si>
  <si>
    <t>Búnker</t>
  </si>
  <si>
    <t>Palma africana (campo)</t>
  </si>
  <si>
    <t>Palma africana (proceso)</t>
  </si>
  <si>
    <t>Arroz (campo)</t>
  </si>
  <si>
    <t>Cascarilla de arroz</t>
  </si>
  <si>
    <t>Forestal</t>
  </si>
  <si>
    <t>tCO2/TJ</t>
  </si>
  <si>
    <t>#días</t>
  </si>
  <si>
    <t>d/año</t>
  </si>
  <si>
    <t>Paneles solares fotovoltaicos para generación de electricidad</t>
  </si>
  <si>
    <t>03.B</t>
  </si>
  <si>
    <t>03.C</t>
  </si>
  <si>
    <t>Cercas eléctricas con paneles solares</t>
  </si>
  <si>
    <t>Lámparas solares</t>
  </si>
  <si>
    <t>03.D</t>
  </si>
  <si>
    <t>Calderas de biomasa cuya fuente energética sea desechos orgánicos o pellets</t>
  </si>
  <si>
    <t>kg/día</t>
  </si>
  <si>
    <t>hora/día</t>
  </si>
  <si>
    <t>03.E</t>
  </si>
  <si>
    <t xml:space="preserve">NO. </t>
  </si>
  <si>
    <t>CATEGORÍA ELEGIBLE</t>
  </si>
  <si>
    <t>CÓD</t>
  </si>
  <si>
    <t>CRITERIO DE ELEGIBILIDAD</t>
  </si>
  <si>
    <t>Edificios Ecológicos</t>
  </si>
  <si>
    <t>LEED</t>
  </si>
  <si>
    <t>EDGE</t>
  </si>
  <si>
    <t>BREEM</t>
  </si>
  <si>
    <t>Punto verde</t>
  </si>
  <si>
    <t>Edificios avalados por la SEA</t>
  </si>
  <si>
    <t>Eficiencia energética</t>
  </si>
  <si>
    <t>Electrodomésticos y equipos con etiqueta energética “A</t>
  </si>
  <si>
    <t>Energía renovable</t>
  </si>
  <si>
    <t xml:space="preserve"> Paneles solares térmicos para calentamiento de agua</t>
  </si>
  <si>
    <t xml:space="preserve"> Cercas eléctricas con paneles solares</t>
  </si>
  <si>
    <t xml:space="preserve">Calderas de biomasa cuya fuente energética sea desechos orgánicos o pellets </t>
  </si>
  <si>
    <t>Biodigestores</t>
  </si>
  <si>
    <t>Gestión Sostenible del Agua y Aguas Residuales</t>
  </si>
  <si>
    <t xml:space="preserve"> Sistemas de recolección, almacenamiento y distribución de agua de lluvia</t>
  </si>
  <si>
    <t>Gestión Sostenible de Recursos Naturales  (Agricultura sostenible)</t>
  </si>
  <si>
    <t>Certificaciones agrícolas sostenibles</t>
  </si>
  <si>
    <t xml:space="preserve">Lombricomposta  </t>
  </si>
  <si>
    <t xml:space="preserve">ISO 34101 para cacao sostenible y trazable; </t>
  </si>
  <si>
    <t>Productos y/o insumos orgánicos</t>
  </si>
  <si>
    <t>H</t>
  </si>
  <si>
    <t>Certificaciones forestales sostenibles</t>
  </si>
  <si>
    <t xml:space="preserve">Gestión Sostenible de 
Residuos  </t>
  </si>
  <si>
    <t xml:space="preserve">Centros de reciclaje y/o centros de recompra de materiales reciclables  </t>
  </si>
  <si>
    <t>FECHA</t>
  </si>
  <si>
    <t>TON C02/AÑO EVITADAS</t>
  </si>
  <si>
    <t>1 - Edificios Ecológicos - B. EDGE</t>
  </si>
  <si>
    <t>MONTO [$]</t>
  </si>
  <si>
    <t>PLAZO [DÍAS]</t>
  </si>
  <si>
    <t>G. Paneles solares térmicos</t>
  </si>
  <si>
    <t>H. Secadores solares</t>
  </si>
  <si>
    <t>I. Alimentadores fotovoltaicos</t>
  </si>
  <si>
    <t>J. Oxigenadores fotovoltaicos</t>
  </si>
  <si>
    <t>E. Sistemas silvopastoriles</t>
  </si>
  <si>
    <t>F. Lombricomposta</t>
  </si>
  <si>
    <t>H. ISO 34101 para cacao sostenible y trazable</t>
  </si>
  <si>
    <t>I. Productos y/o insumos orgánicos</t>
  </si>
  <si>
    <t>J. Certificaciones forestales sostenibles</t>
  </si>
  <si>
    <t>K. Bioemprendimientos</t>
  </si>
  <si>
    <t>Sistemas silvopastoriles</t>
  </si>
  <si>
    <t>¿Qué  área de terreno espera consolidar o trabajar en sistemas silvopastoriles ?</t>
  </si>
  <si>
    <t xml:space="preserve">Manejo de prácticas agrícolas y ganaderas tradicionales que destruyen bosques para expandir su frontera. </t>
  </si>
  <si>
    <t xml:space="preserve">Cantidad de suelo con implementación de prácticas de silvicultura(hectáreas) </t>
  </si>
  <si>
    <t>Cantidad de suelo con prácticas de silvicultura</t>
  </si>
  <si>
    <t>Porcentaje de bosque del sistema silvopastoril</t>
  </si>
  <si>
    <t>Area de terrreno convertidas a sistemas agroforestales</t>
  </si>
  <si>
    <t>Ha</t>
  </si>
  <si>
    <t>Cantidad de cobertura forestal conservada</t>
  </si>
  <si>
    <t>Área de terrreno convertidas a sistemas silvopastoriles</t>
  </si>
  <si>
    <t>El Reconocimiento ambiental Punto Verde promueve la implementación de estrategias preventivas de eficiencia de recursos, buenas prácticas ambientales, y disminución de la contaminación como herramientas para el mejoramiento del desempeño ambiental y posicionamiento competitivo en el mercado nacional, regional e internacional.</t>
  </si>
  <si>
    <t>Beneficio ambiental de la organización</t>
  </si>
  <si>
    <t>Reducción en el consumo de energía</t>
  </si>
  <si>
    <t>Reducción en el consumo de agua</t>
  </si>
  <si>
    <t>m3 agua ahorradas/año</t>
  </si>
  <si>
    <t>Reducción en el consumo de combustible</t>
  </si>
  <si>
    <t>gal combustible ahorrado/año</t>
  </si>
  <si>
    <t>05.I</t>
  </si>
  <si>
    <t>Aprovechamiento sostenible de los Productos Forestales No Maderables (PFNM) provenientes de bosques naturales o recreados - Bioemprendimiento</t>
  </si>
  <si>
    <t>Los bioemprendimientos combinan la rentabilidad económica con el cuidado del medio ambiente y la sostenibilidad social; se basa en el uso y manejo responsable de los recursos que se obtienen de los bosques que no son de naturaleza maderable (miel, hongos, resinas, frutos, etc). Promueven el uso responsable de estos recursos, sin comprometer la conservación y biodiversidad de los ecosistemas, por lo que reqieren una gestión adecuada de bosques y la participación activa de las comunidades.</t>
  </si>
  <si>
    <t>Número de bioemprendimientos implementados</t>
  </si>
  <si>
    <t>comunidades y organizaciones</t>
  </si>
  <si>
    <t>Número de plazas de trabajo nuevas</t>
  </si>
  <si>
    <t>Número de comunidades u organizaciones beneficiadas</t>
  </si>
  <si>
    <t>07.A</t>
  </si>
  <si>
    <t>07.B</t>
  </si>
  <si>
    <t>Bicicletas</t>
  </si>
  <si>
    <t>07.C</t>
  </si>
  <si>
    <t>07.D</t>
  </si>
  <si>
    <t>Indique el tipo de combustible</t>
  </si>
  <si>
    <t>Reciclaje de de desechos inorgánicos como papel, plástico, metales, etc</t>
  </si>
  <si>
    <t>Aprovechamiento de materia o residuos  orgánicos</t>
  </si>
  <si>
    <t>¿Qué eje de acción ambiental tendrá su proyecto?</t>
  </si>
  <si>
    <t>¿Puede estimar el beneficio anual que obtendrá con la implementación del proyecto?"</t>
  </si>
  <si>
    <t>Factor de emisión de operación del SIN del Ecuador, 2021</t>
  </si>
  <si>
    <t>Kg CO2/kWh )</t>
  </si>
  <si>
    <t>Proopiedades de los combustibles</t>
  </si>
  <si>
    <t>Poder Calorífico Neto (TJ/1000ton)</t>
  </si>
  <si>
    <t>Diésel</t>
  </si>
  <si>
    <t>Gasolina (nafta)</t>
  </si>
  <si>
    <t>Gas Natural o GLP</t>
  </si>
  <si>
    <t>Beneficio ambiental del proyecto</t>
  </si>
  <si>
    <t>La obtención del certificado orgánico otorga importantes beneficios a los productores ya que ayuda a comprender las normativas vigentes en producción orgánica y su correcta aplicación, contribuye a la mejora del sistema documental, provee de información al agricultor sobre las sustancias permitidas y prohibidas en este tipo de producción y garantiza el cumplimiento de requisitos legales de cara a los consumidores.</t>
  </si>
  <si>
    <t>La certificación forestal permite garantizar la sostenibilidad de los productos elaborados a partir de recursos forestales. Estas acreditaciones aseguran que la gestión forestal de los proveedores que la poseen están siendo responsables en la triple vertiente ecológica, social y económica.</t>
  </si>
  <si>
    <t>Punto Verde</t>
  </si>
  <si>
    <t xml:space="preserve">Seleccione el nivel de </t>
  </si>
  <si>
    <t>certificación</t>
  </si>
  <si>
    <t>¿Qué tipo de certificación posee su edificación?</t>
  </si>
  <si>
    <t>¿Qué beneficio espera tener con la implementación del proyecto?</t>
  </si>
  <si>
    <t>Beneficio</t>
  </si>
  <si>
    <t xml:space="preserve"> = m3 agua ahorradas/año</t>
  </si>
  <si>
    <t xml:space="preserve">Factores </t>
  </si>
  <si>
    <t xml:space="preserve">Edificios con reconocimiento  o certificaciòn  Punto Verde  </t>
  </si>
  <si>
    <t>Certificación Punto Verde</t>
  </si>
  <si>
    <t>LEED Platinum (Platino)</t>
  </si>
  <si>
    <t>LEED Gold (Oro)</t>
  </si>
  <si>
    <t>LEED Certified (Certificado)</t>
  </si>
  <si>
    <t>LEED Silver (Plata)</t>
  </si>
  <si>
    <t>Las emisiones de CO2 evitadas equivalen a</t>
  </si>
  <si>
    <t>árboles plantados</t>
  </si>
  <si>
    <t xml:space="preserve">Las emisiones de CO2 </t>
  </si>
  <si>
    <t>evitadas equivalen a</t>
  </si>
  <si>
    <t>CERTIFICACION LEED</t>
  </si>
  <si>
    <t>CERTIFICACION BREEAM</t>
  </si>
  <si>
    <t>Aprobado</t>
  </si>
  <si>
    <t>Bueno</t>
  </si>
  <si>
    <t>Muy bueno</t>
  </si>
  <si>
    <t>Excelente</t>
  </si>
  <si>
    <t>Excepcional</t>
  </si>
  <si>
    <t>Kg CO2/kWh</t>
  </si>
  <si>
    <t>Reconocimiento Punto Verde</t>
  </si>
  <si>
    <t>01.E</t>
  </si>
  <si>
    <t>Producción con Reconocimiento Punto Verde</t>
  </si>
  <si>
    <t>G. Producción con Reconocimiento Punto Verde</t>
  </si>
  <si>
    <t xml:space="preserve">Producción con reconocimiento Punto Verde  </t>
  </si>
  <si>
    <t xml:space="preserve"> = gal combustible ahorrado/año</t>
  </si>
  <si>
    <t>Factor  gal a m3</t>
  </si>
  <si>
    <t>m3/gal</t>
  </si>
  <si>
    <t>FE = Factor de emisión</t>
  </si>
  <si>
    <t>Densidad (kg/m3)</t>
  </si>
  <si>
    <t>03.G</t>
  </si>
  <si>
    <t>Paneles solares térmicos para calentamiento de agua</t>
  </si>
  <si>
    <t>PANELES SOLARES TERMICOS</t>
  </si>
  <si>
    <t>https://www.ocu.org/vivienda-y-energia/energia-renovable/informe/colectores-termicos</t>
  </si>
  <si>
    <t>Se asume q el colector calienta agua desde 15°C y la almacena a 55°C</t>
  </si>
  <si>
    <t>Volumen del acumulador</t>
  </si>
  <si>
    <t>y que por lo general puede ahorrar hasta 100L@55°C/día</t>
  </si>
  <si>
    <t>Sistema reemplazado</t>
  </si>
  <si>
    <t>GLP/eléctrico</t>
  </si>
  <si>
    <t>E/día</t>
  </si>
  <si>
    <t>kJ/día</t>
  </si>
  <si>
    <t>eff</t>
  </si>
  <si>
    <t>kWh/día</t>
  </si>
  <si>
    <t>Eléctrico</t>
  </si>
  <si>
    <t>m</t>
  </si>
  <si>
    <t>Cp</t>
  </si>
  <si>
    <t xml:space="preserve"> ∆T</t>
  </si>
  <si>
    <t>Consumo energético eficaz</t>
  </si>
  <si>
    <t>MJ/año</t>
  </si>
  <si>
    <t>https://estrucplan.com.ar/eficiencia-de-calefones-importancia-de-los-consumos-pasivos/</t>
  </si>
  <si>
    <t>litros</t>
  </si>
  <si>
    <t>03.H</t>
  </si>
  <si>
    <t>Secadores (deshidratadores) solares</t>
  </si>
  <si>
    <t>Se asume que la masa que se pierde es únicamente agua</t>
  </si>
  <si>
    <t>se asume que la evaporación del agua sucede a 50°C</t>
  </si>
  <si>
    <t>Se asume teamperatura ambiente @15 °C y densidad del aire a nivel del mar</t>
  </si>
  <si>
    <t>Temperatura de secado</t>
  </si>
  <si>
    <t>°C</t>
  </si>
  <si>
    <t>Volumen de la cámara de secado</t>
  </si>
  <si>
    <t>Masa a deshidratar</t>
  </si>
  <si>
    <t>Energía necesaria</t>
  </si>
  <si>
    <t>MWh/año</t>
  </si>
  <si>
    <t>Masa deshidratada</t>
  </si>
  <si>
    <t>Cp del alimento a deshidratar</t>
  </si>
  <si>
    <t>kJ/kg</t>
  </si>
  <si>
    <t>Energético reemplazado</t>
  </si>
  <si>
    <t>Operaciones al año</t>
  </si>
  <si>
    <t>[#/año]</t>
  </si>
  <si>
    <t>Electricidad</t>
  </si>
  <si>
    <t>Qlat vapor@50°C</t>
  </si>
  <si>
    <t>Qsair</t>
  </si>
  <si>
    <t>Kj/kg/k</t>
  </si>
  <si>
    <t>desAir</t>
  </si>
  <si>
    <t>kg/m3</t>
  </si>
  <si>
    <t>Producción incrementada</t>
  </si>
  <si>
    <t>Producción anterior</t>
  </si>
  <si>
    <t xml:space="preserve">Produccion esperada </t>
  </si>
  <si>
    <t>Producción con alim manual</t>
  </si>
  <si>
    <t>kg CO2e/kg</t>
  </si>
  <si>
    <t>Se asume al menos un 20% de mayor producción con alimentación acústica respecto de alimentación manual</t>
  </si>
  <si>
    <t>mayor prod</t>
  </si>
  <si>
    <t>ciclos/año</t>
  </si>
  <si>
    <t># ciclos anuales</t>
  </si>
  <si>
    <t>kg/ha</t>
  </si>
  <si>
    <t>producción por hectárea</t>
  </si>
  <si>
    <t>caso1 Alim sónica mej vs manual</t>
  </si>
  <si>
    <t>area de la piscinas con alimentadores</t>
  </si>
  <si>
    <t>Datos prod</t>
  </si>
  <si>
    <t>https://issuu.com/revista-cna/docs/edicion135final/s/10777166</t>
  </si>
  <si>
    <t>FE Uso de suelo</t>
  </si>
  <si>
    <t>https://esajournals.onlinelibrary.wiley.com/doi/abs/10.1002/fee.1482</t>
  </si>
  <si>
    <t>FE cultivo</t>
  </si>
  <si>
    <t>https://ourworldindata.org/explorers/food-footprints?tab=table&amp;facet=none&amp;country=Almonds~Bacon~Bananas~Beans~Beef+%28beef+herd%29~Beef+%28dairy+herd%29~Beefburger~Cheese~Cow%27s+milk~Eggs~Lamb+%26+Mutton~Maize~Milk~Peas~Penne+pasta~Pig+Meat~Pizza~Poultry+Meat~Prawns+%28farmed%29~Rice~Steak+pie~Tofu~Tomatoes~Vegetable+lasagne~Wheat+%26+Rye&amp;pickerSort=desc&amp;pickerMetric=ghg_kg&amp;Commodity+or+Specific+Food+Product=Specific+food+products&amp;Environmental+Impact=Carbon+footprint&amp;Kilogram+%2F+Protein+%2F+Calories=Per+kilogram&amp;By+stage+of+supply+chain=false</t>
  </si>
  <si>
    <t>Alimentadores solares automáticos</t>
  </si>
  <si>
    <t>03.I</t>
  </si>
  <si>
    <t>caso2 Alim sónica mej vs aut tempor</t>
  </si>
  <si>
    <t>caso3 Alim sónica mej vs alim sónica std</t>
  </si>
  <si>
    <t>Uso de oxigenadores automáticos alimentados con energía fotovoltaica</t>
  </si>
  <si>
    <t>03.J</t>
  </si>
  <si>
    <t>Uso de alimentadores automáticos alimentados con energía fotovoltaica</t>
  </si>
  <si>
    <t>Oxigenadores fotovoltaicos</t>
  </si>
  <si>
    <t>03.K</t>
  </si>
  <si>
    <t>Financiamiento de mini generadoras hidráulicas</t>
  </si>
  <si>
    <t>h/días</t>
  </si>
  <si>
    <t>Horas de generación</t>
  </si>
  <si>
    <t>MINIGENERADORAS HIDRÁULICAS</t>
  </si>
  <si>
    <t>horas/días</t>
  </si>
  <si>
    <t>día/año</t>
  </si>
  <si>
    <t>-Reducción en el consumo energético y en la huella de carbono de la operación del equipo.
-Considerable disminución de pérdidas energéticas en forma de calor.</t>
  </si>
  <si>
    <t>Edificios avalados por la SEA (Sistema de Evaluación Ambiental)</t>
  </si>
  <si>
    <t>-Uso eficiente de recursos naturales como energía, agua, materia prima.
-Reducción de la producción de CO2 en temas de energía y transporte.
-Generación de espacios verdes y recreativos dentro de los proyectos inmobiliarios, etc.</t>
  </si>
  <si>
    <t>-Equipos sin consumo energético externo, ideales en lugares sin disponibilidad de red eléctrica.
-Independientes de la red eléctrica, es decir que no requieren de cableado eléctrico.</t>
  </si>
  <si>
    <t>-Generación de energía eléctrica limpia, de fuente renovable, sin huella de carbono.
-Períodos de vida útil de 25 años y tiempos de retorno de inversión que rodean los 8 años.</t>
  </si>
  <si>
    <t>-Equipos de iluminación sin consumo energético y autonomía que garantiza su operación durante toda la noche.
-Ideales para iluminación exterior, independientes de la red eléctrica, es decir que no requieren de cableado eléctrico.</t>
  </si>
  <si>
    <t>-Su combustible es elaborado a partir de residuos.
-Si la biomasa es elaborada con los residuos de la operación de la propia empresa, se consideran emisiones de carbono neutralizadas.</t>
  </si>
  <si>
    <t>Fuente energética de origen renovable, sin huella de carbono.</t>
  </si>
  <si>
    <t>-Largos períodos de vida útil con tiempos de retorno de inversión medios por el costo de acumuladores (baterías).
-Fuente energética de origen renovable, sin huella de carbono.</t>
  </si>
  <si>
    <t>-Generación de energía eléctrica limpia, de fuente renovable, sin huella de carbono.
-Largos períodos de vida útil con tiempos de retorno de inversión de bajos a medios.</t>
  </si>
  <si>
    <t>CATEGORÍA</t>
  </si>
  <si>
    <t>kWh ahorrados/año</t>
  </si>
  <si>
    <t xml:space="preserve"> = kWh ahorrados/año</t>
  </si>
  <si>
    <t>Cantidad de materia orgánica aprovechada t/año</t>
  </si>
  <si>
    <t>t/año</t>
  </si>
  <si>
    <t>m3 agua ahorrada/ha</t>
  </si>
  <si>
    <t>-m3 agua ahorrada/ha
-kg fertilizante ahorrado/ha</t>
  </si>
  <si>
    <t>Cantidad de suelo con prácticas de manejo de la tierra en sistemas silvopastoriles (ha)</t>
  </si>
  <si>
    <t>Toneladas de residuos aprovechados/año
kWh ahorrados/año
m3 ahorrados/año
Galones de combustible ahorrados/año
Toneladas de CO2 evitadas/año</t>
  </si>
  <si>
    <t>Ancho y alto</t>
  </si>
  <si>
    <t>Cantidad de material reciclado (t/año)</t>
  </si>
  <si>
    <t>t desechos recuperadas/año</t>
  </si>
  <si>
    <t>t materia orgánica aprovechada/año</t>
  </si>
  <si>
    <t xml:space="preserve"> = t desechos recuperadas/año</t>
  </si>
  <si>
    <t xml:space="preserve"> = t materia orgánica aprovechada/año</t>
  </si>
  <si>
    <t>t CO2/año (combustible líquido)</t>
  </si>
  <si>
    <t xml:space="preserve"> = (gal combustible ahorrado/año*(factor gal a m3/año)*FE (t CO2/m3)</t>
  </si>
  <si>
    <t>t CO2/año (combustible gas)</t>
  </si>
  <si>
    <t xml:space="preserve"> = (Kg combustible ahorrado/año/1000)*FE (t CO2/t gas)</t>
  </si>
  <si>
    <t>FE (t CO2/TJ)</t>
  </si>
  <si>
    <t>FE (t CO2/m3 combustible o t gas)</t>
  </si>
  <si>
    <t>t CO2/m3 para combustible líquido o t CO2/t gas para GLP</t>
  </si>
  <si>
    <t>Los sistemas silvopastoriles al combinar la producción ganadera con la producción forestal en la misma área, producen importantes beneficios ambientales como la reducción de la deforestación, pues evita desmontar bosques para la expansión de la agricultura o la ganadería. Además, permiten un aprovechamiento integral del suelo y evita su erosión, a la vez promueve la diversificación de la producción. Permiten fomentar la conservación y la diversidad biológica al combinar los dos sistemas de producción.</t>
  </si>
  <si>
    <t>Consumo de agua anual por ha de cultivo</t>
  </si>
  <si>
    <t xml:space="preserve"> =  Tasa de consumo anual por tipo de cultivo/ha*ha cultivadas</t>
  </si>
  <si>
    <t>Cantidad de materia orgánica aprovechada por ha</t>
  </si>
  <si>
    <t>t/ha</t>
  </si>
  <si>
    <t>Promedio consumo por ciclo /ha</t>
  </si>
  <si>
    <t>Consumo promedio anual agua/ha  (m3)</t>
  </si>
  <si>
    <t>Peso desechos orgánicos por planta por ha (t/ha)</t>
  </si>
  <si>
    <t>Promedio consumo por ciclo /ha  (m3)</t>
  </si>
  <si>
    <t xml:space="preserve"> =  ha de suelo </t>
  </si>
  <si>
    <t>CERTIFICACION EDGE</t>
  </si>
  <si>
    <t>EDGE Certified (Certificado)</t>
  </si>
  <si>
    <t>EDGE Advanced (Avanzado)</t>
  </si>
  <si>
    <t>Zero Carbon</t>
  </si>
  <si>
    <t xml:space="preserve">D. Recambio por motores </t>
  </si>
  <si>
    <t xml:space="preserve">    eléctricos</t>
  </si>
  <si>
    <t>Reducción en el consumo energético y en la huella de carbono de la operación del equipo.</t>
  </si>
  <si>
    <t>Tamaño de la pantalla</t>
  </si>
  <si>
    <t>pulgadas</t>
  </si>
  <si>
    <t>Uso diario</t>
  </si>
  <si>
    <t>Rel 16:9</t>
  </si>
  <si>
    <t>Sen ángulo</t>
  </si>
  <si>
    <t>Cos ángulo</t>
  </si>
  <si>
    <t>[15-28]W</t>
  </si>
  <si>
    <t xml:space="preserve">Potencia base </t>
  </si>
  <si>
    <t>Consumo actual</t>
  </si>
  <si>
    <t>IEE*Pref [W]</t>
  </si>
  <si>
    <t>Potencia anterior</t>
  </si>
  <si>
    <t>Potencia actual</t>
  </si>
  <si>
    <t>Pot ref según tamaño</t>
  </si>
  <si>
    <t>dm2</t>
  </si>
  <si>
    <t>Área</t>
  </si>
  <si>
    <t>Televisores</t>
  </si>
  <si>
    <t>Equipo anterior</t>
  </si>
  <si>
    <t>MOTORES ELÉCTRICOS EFICIENTES</t>
  </si>
  <si>
    <t>A1</t>
  </si>
  <si>
    <t>C1</t>
  </si>
  <si>
    <t>REFRIGERADORAS</t>
  </si>
  <si>
    <t>TELEVISORES</t>
  </si>
  <si>
    <t>C2</t>
  </si>
  <si>
    <t>días/año</t>
  </si>
  <si>
    <t>Sin certificación</t>
  </si>
  <si>
    <t>Con certificación</t>
  </si>
  <si>
    <t>Hasta 2,0 L a diésel2</t>
  </si>
  <si>
    <t>Motor del vehículo reemplazado</t>
  </si>
  <si>
    <t>km/año</t>
  </si>
  <si>
    <t>Recorrido anual</t>
  </si>
  <si>
    <t>Estándar</t>
  </si>
  <si>
    <t>Dato de entrada de recorrido</t>
  </si>
  <si>
    <t>Adquisición de vehículos híbridos.</t>
  </si>
  <si>
    <t>C. Bicicletas</t>
  </si>
  <si>
    <t>A. Vehículos híbridos</t>
  </si>
  <si>
    <t>d/a</t>
  </si>
  <si>
    <t>#</t>
  </si>
  <si>
    <t>tCO2/gal</t>
  </si>
  <si>
    <t>t CO2/año</t>
  </si>
  <si>
    <t>tCO2</t>
  </si>
  <si>
    <t>Emisiones anteriores</t>
  </si>
  <si>
    <t>Operación diaria</t>
  </si>
  <si>
    <t>gal/h</t>
  </si>
  <si>
    <t>Consumo diésel motor anterior</t>
  </si>
  <si>
    <t>Potencia del motor eléctrico</t>
  </si>
  <si>
    <t>260 d/a</t>
  </si>
  <si>
    <t>motor eléctri a plena carga</t>
  </si>
  <si>
    <t>Recambio de motores a combustión por motores eléctricos eficientes</t>
  </si>
  <si>
    <t>tCO2/km</t>
  </si>
  <si>
    <t>Vehículo reemplazado</t>
  </si>
  <si>
    <t>Bus</t>
  </si>
  <si>
    <t>Liviano</t>
  </si>
  <si>
    <t>km/d</t>
  </si>
  <si>
    <t>Recorrido aproximado al día</t>
  </si>
  <si>
    <t>commuting_emissions</t>
  </si>
  <si>
    <t>Un usuario de una bicicleta la utiliza en vez de taxi o en su defecto bus, en recorridos cortos sin embargo se deja como dato de entrada la distancia recorrida.</t>
  </si>
  <si>
    <t>BICICLETAS</t>
  </si>
  <si>
    <t>Mayor que 2,0 L a diésel3</t>
  </si>
  <si>
    <t>Hasta 2,0 L a diésel3</t>
  </si>
  <si>
    <t>Mayor que 2,1 L a gasolina</t>
  </si>
  <si>
    <t>Hasta 2,1 L a gasolina</t>
  </si>
  <si>
    <t>Hasta 1,4 L a gasolina</t>
  </si>
  <si>
    <t>actual</t>
  </si>
  <si>
    <t>km/carga</t>
  </si>
  <si>
    <t>Autonomía del vehículo</t>
  </si>
  <si>
    <t>h / VDC</t>
  </si>
  <si>
    <r>
      <t xml:space="preserve">Tiempo de carga  / </t>
    </r>
    <r>
      <rPr>
        <b/>
        <sz val="10"/>
        <color rgb="FFFFC000"/>
        <rFont val="Arial"/>
        <family val="2"/>
        <scheme val="minor"/>
      </rPr>
      <t>Voltaje de batería VDC</t>
    </r>
  </si>
  <si>
    <t>Otro valor</t>
  </si>
  <si>
    <r>
      <rPr>
        <i/>
        <sz val="11"/>
        <color rgb="FF00B050"/>
        <rFont val="Arial"/>
        <family val="2"/>
        <scheme val="minor"/>
      </rPr>
      <t xml:space="preserve">W </t>
    </r>
    <r>
      <rPr>
        <i/>
        <sz val="11"/>
        <color theme="1"/>
        <rFont val="Arial"/>
        <family val="2"/>
        <scheme val="minor"/>
      </rPr>
      <t xml:space="preserve"> / </t>
    </r>
    <r>
      <rPr>
        <i/>
        <sz val="11"/>
        <color rgb="FF00B0F0"/>
        <rFont val="Arial"/>
        <family val="2"/>
        <scheme val="minor"/>
      </rPr>
      <t>Ah</t>
    </r>
  </si>
  <si>
    <r>
      <rPr>
        <b/>
        <sz val="10"/>
        <color rgb="FF00B050"/>
        <rFont val="Arial"/>
        <family val="2"/>
        <scheme val="minor"/>
      </rPr>
      <t>Potencia del cargador (AC)</t>
    </r>
    <r>
      <rPr>
        <b/>
        <sz val="10"/>
        <color theme="1"/>
        <rFont val="Arial"/>
        <family val="2"/>
        <scheme val="minor"/>
      </rPr>
      <t xml:space="preserve"> /  </t>
    </r>
    <r>
      <rPr>
        <b/>
        <sz val="10"/>
        <color rgb="FF00B0F0"/>
        <rFont val="Arial"/>
        <family val="2"/>
        <scheme val="minor"/>
      </rPr>
      <t>Capacidad del banco de baterías</t>
    </r>
  </si>
  <si>
    <t>Parámetros de recarga</t>
  </si>
  <si>
    <t>Gran variabilidad dependiendo del tipo de vehículo, los datos solicitados son los requeridos para dar un cálculo lo más acertado posible</t>
  </si>
  <si>
    <t>VEHÍCULOS ELÉCTRICOS</t>
  </si>
  <si>
    <t>Mayor que 2,0 L a diésel2</t>
  </si>
  <si>
    <t>Todo vehículo híbrido cumple con las emisiones que permite esta categoría 50 g CO2/km. El rendimiento de un vehículo híbrido se da en función de las condiciones de operación de sus motores térmico y eléctrico, y estos a su vez operarán en función de las características geográficas de su recorrido, por lo que cada caso es particular. Al ser esta una versión primordial, se considera que el hecho de adquirir un vehículo híbrido, hace que califique en una categoría de un equipo más limpio.</t>
  </si>
  <si>
    <t>VEHÍCULOS HÍBRIDOS</t>
  </si>
  <si>
    <t>Adquisición de vehículos eléctricos</t>
  </si>
  <si>
    <t>Características de la batería</t>
  </si>
  <si>
    <t>km/día</t>
  </si>
  <si>
    <t>Recambio de motores a combustión por motores eléctricos.</t>
  </si>
  <si>
    <t>hora/dìa</t>
  </si>
  <si>
    <t>B. Vehículos eléctricos</t>
  </si>
  <si>
    <t>Toneladas de CO2 evitadas anualmente</t>
  </si>
  <si>
    <t>Cantidad de CO2 evitadas (Tn/año)</t>
  </si>
  <si>
    <t>=  Cantidad de material reciclado (Tn/año)*factor de emisión</t>
  </si>
  <si>
    <t>Material virgen</t>
  </si>
  <si>
    <t>Material reciclado</t>
  </si>
  <si>
    <t>Kg de CO2/Kg material</t>
  </si>
  <si>
    <t>Kg/Kg material</t>
  </si>
  <si>
    <t xml:space="preserve">Indicador </t>
  </si>
  <si>
    <t>Gestión</t>
  </si>
  <si>
    <t>Tn CO2 evitadas/año</t>
  </si>
  <si>
    <t xml:space="preserve">Cantidad total de material recuperados </t>
  </si>
  <si>
    <t>Tn CO2/año</t>
  </si>
  <si>
    <t>Factor de emisión (Kg de CO2/Kg material)</t>
  </si>
  <si>
    <t>Tn CO2 evitadas por reciclaje de Tn residuo especial</t>
  </si>
  <si>
    <t xml:space="preserve">Rango </t>
  </si>
  <si>
    <t>Promedio</t>
  </si>
  <si>
    <t>0,8-1,1</t>
  </si>
  <si>
    <t>1,6-2,3</t>
  </si>
  <si>
    <t>1,5-2,2</t>
  </si>
  <si>
    <t>1,8-2,5</t>
  </si>
  <si>
    <t>Tn CO2 evitadas por reciclaje de Tn residuo orgánico para compostaje o digestión anaerobia</t>
  </si>
  <si>
    <t>0,5-1,0</t>
  </si>
  <si>
    <t>Cantidad total de materia orgánica aprovechada</t>
  </si>
  <si>
    <t>¿Qué gestión dará a los residuos recuperados?</t>
  </si>
  <si>
    <t>Marque 
(X)</t>
  </si>
  <si>
    <t>X</t>
  </si>
  <si>
    <t>Tipo de residuo especial</t>
  </si>
  <si>
    <t>Baterias</t>
  </si>
  <si>
    <t>Residuos electrónicos</t>
  </si>
  <si>
    <t>Plástico de invernadero</t>
  </si>
  <si>
    <t xml:space="preserve">Tecnología que tiene aplicación en pequeña y gran escala. Disminuye la emisión de GEI cuando se aprovecha energéticamente el biogás generado; y evita que los desechos orgánicos emitan libremente a la atmósfera metano y dióxido de carbono. El efluente del biodigestor o biol es un de fertilizante orgánico que puede sustituir a la fertilización química mejorando el rendimiento de los cultivos hasta en un 30% </t>
  </si>
  <si>
    <t>-Equipos sin consumo energético externo, calentamiento de agua sin huella de carbono.
-Variedad de tipos, tamaños e inversión requerida.</t>
  </si>
  <si>
    <t>-Mejora en la taza de producción, crecimiento y supervivencia.
-Evita la logística del boleo manual y aprovecha de mejor forma el alimento.</t>
  </si>
  <si>
    <t>Caña de azúcar (campo)</t>
  </si>
  <si>
    <t>El agua de lluvia recolectada se puede utilizar para fines no potables como el riego, limpieza, descarga de inodoros, etc.; reduciendo el pago por consumo de agua potable. Puede convertirse en una fuente alternativa de agua durante las sequías o en sitios donde los recursos hídricos limitados. Dependiendo de las precipitaciones y del área de recolección pueden llegar a suplir hasta un 15 a 30% de los requerimientos de agua.</t>
  </si>
  <si>
    <t>Producción agrícola</t>
  </si>
  <si>
    <t>m3 agua  tratada/año</t>
  </si>
  <si>
    <t>-Consumo energético menor y por ende menor huella de carbono en relación a un vehículo con motor de combustión interna.
-Autogeneración y almacenamiento de energía eléctrica para autoconsumo en su motor eléctrico.</t>
  </si>
  <si>
    <t>-Consumo energético menor y por ende menor huella de carbono en relación a un vehículo con motor de combustión interna.
-Uso energético más eficiente. 
-Disminución de la contaminación ambiental (ruido, calor y vibración) y del riesgo de generar pasivos ecológicos.</t>
  </si>
  <si>
    <t>-Sin consumo energético y por ende sin huella de carbono.
-Evita el trafico a la vez que se realiza actividad física.</t>
  </si>
  <si>
    <t>-Consumo energético de mayor calidad y disminución de la huella de carbono.
-Uso energético más eficiente. Disminución de la contaminación ambiental (ruido, calor y vibración).
-Disminución de la contaminación ambiental (ruido, calor y vibración) y del riesgo de generar pasivos ecológicos.</t>
  </si>
  <si>
    <r>
      <t>Ingresar los datos establecidos en el Reporte de Auditoría EDGE en la sección "Detalles del Proyecto", en los siguientes criterios: Emisiones de carbono (</t>
    </r>
    <r>
      <rPr>
        <b/>
        <i/>
        <sz val="9"/>
        <color theme="1"/>
        <rFont val="Arial"/>
        <family val="2"/>
        <scheme val="minor"/>
      </rPr>
      <t>Carbon emissions</t>
    </r>
    <r>
      <rPr>
        <b/>
        <sz val="9"/>
        <color theme="1"/>
        <rFont val="Arial"/>
        <family val="2"/>
        <scheme val="minor"/>
      </rPr>
      <t>), Ahorro de CO2 durante el uso (</t>
    </r>
    <r>
      <rPr>
        <b/>
        <i/>
        <sz val="9"/>
        <color theme="1"/>
        <rFont val="Arial"/>
        <family val="2"/>
        <scheme val="minor"/>
      </rPr>
      <t>Operational CO2 savings</t>
    </r>
    <r>
      <rPr>
        <b/>
        <sz val="9"/>
        <color theme="1"/>
        <rFont val="Arial"/>
        <family val="2"/>
        <scheme val="minor"/>
      </rPr>
      <t>)</t>
    </r>
  </si>
  <si>
    <r>
      <t xml:space="preserve">3. Seleccione el </t>
    </r>
    <r>
      <rPr>
        <b/>
        <sz val="10"/>
        <color theme="1"/>
        <rFont val="Arial"/>
        <family val="2"/>
        <scheme val="minor"/>
      </rPr>
      <t>tipo de eficiencia</t>
    </r>
    <r>
      <rPr>
        <sz val="10"/>
        <color theme="1"/>
        <rFont val="Arial"/>
        <family val="2"/>
        <scheme val="minor"/>
      </rPr>
      <t xml:space="preserve"> </t>
    </r>
    <r>
      <rPr>
        <i/>
        <sz val="9"/>
        <color theme="1"/>
        <rFont val="Arial"/>
        <family val="2"/>
        <scheme val="minor"/>
      </rPr>
      <t>(ver placa del equipo nuevo)</t>
    </r>
  </si>
  <si>
    <r>
      <t xml:space="preserve">5. Seleccione la </t>
    </r>
    <r>
      <rPr>
        <b/>
        <sz val="10"/>
        <color theme="1"/>
        <rFont val="Arial"/>
        <family val="2"/>
        <scheme val="minor"/>
      </rPr>
      <t>antigüedad</t>
    </r>
    <r>
      <rPr>
        <sz val="10"/>
        <color theme="1"/>
        <rFont val="Arial"/>
        <family val="2"/>
        <scheme val="minor"/>
      </rPr>
      <t xml:space="preserve"> del equipo a reemplazar</t>
    </r>
  </si>
  <si>
    <r>
      <t xml:space="preserve">1. Seleccione el </t>
    </r>
    <r>
      <rPr>
        <b/>
        <sz val="10"/>
        <color theme="1"/>
        <rFont val="Arial"/>
        <family val="2"/>
        <scheme val="minor"/>
      </rPr>
      <t>dato de entrada</t>
    </r>
  </si>
  <si>
    <t>Ingrese</t>
  </si>
  <si>
    <r>
      <t xml:space="preserve">3. Seleccione la </t>
    </r>
    <r>
      <rPr>
        <b/>
        <sz val="10"/>
        <color theme="1"/>
        <rFont val="Arial"/>
        <family val="2"/>
        <scheme val="minor"/>
      </rPr>
      <t>antigüedad</t>
    </r>
    <r>
      <rPr>
        <sz val="10"/>
        <color theme="1"/>
        <rFont val="Arial"/>
        <family val="2"/>
        <scheme val="minor"/>
      </rPr>
      <t xml:space="preserve"> del equipo a reemplazar</t>
    </r>
  </si>
  <si>
    <r>
      <t xml:space="preserve">4. Ingrese el </t>
    </r>
    <r>
      <rPr>
        <b/>
        <sz val="10"/>
        <color theme="1"/>
        <rFont val="Arial"/>
        <family val="2"/>
        <scheme val="minor"/>
      </rPr>
      <t>tiempo de uso</t>
    </r>
    <r>
      <rPr>
        <sz val="10"/>
        <color theme="1"/>
        <rFont val="Arial"/>
        <family val="2"/>
        <scheme val="minor"/>
      </rPr>
      <t xml:space="preserve"> del equipo</t>
    </r>
  </si>
  <si>
    <r>
      <t xml:space="preserve">*Área m2: </t>
    </r>
    <r>
      <rPr>
        <i/>
        <sz val="9"/>
        <color theme="1"/>
        <rFont val="Arial"/>
        <family val="2"/>
        <scheme val="minor"/>
      </rPr>
      <t>Entiéndase el área del ambiente en donde va a operar el equipo de aire acondicionado</t>
    </r>
  </si>
  <si>
    <r>
      <t xml:space="preserve">2. Ingrese el </t>
    </r>
    <r>
      <rPr>
        <b/>
        <sz val="10"/>
        <color theme="1"/>
        <rFont val="Arial"/>
        <family val="2"/>
        <scheme val="minor"/>
      </rPr>
      <t>volumen</t>
    </r>
    <r>
      <rPr>
        <sz val="10"/>
        <color theme="1"/>
        <rFont val="Arial"/>
        <family val="2"/>
        <scheme val="minor"/>
      </rPr>
      <t xml:space="preserve"> del equipo</t>
    </r>
  </si>
  <si>
    <r>
      <t xml:space="preserve">1. Ingrese el </t>
    </r>
    <r>
      <rPr>
        <b/>
        <sz val="10"/>
        <color theme="1"/>
        <rFont val="Arial"/>
        <family val="2"/>
        <scheme val="minor"/>
      </rPr>
      <t>tamaño de la pantalla</t>
    </r>
  </si>
  <si>
    <r>
      <t xml:space="preserve">2. Seleccione la </t>
    </r>
    <r>
      <rPr>
        <b/>
        <sz val="10"/>
        <color theme="1"/>
        <rFont val="Arial"/>
        <family val="2"/>
        <scheme val="minor"/>
      </rPr>
      <t>antigüedad</t>
    </r>
    <r>
      <rPr>
        <sz val="10"/>
        <color theme="1"/>
        <rFont val="Arial"/>
        <family val="2"/>
        <scheme val="minor"/>
      </rPr>
      <t xml:space="preserve"> del equipo a reemplazar</t>
    </r>
  </si>
  <si>
    <r>
      <t xml:space="preserve">1. Ingrese la </t>
    </r>
    <r>
      <rPr>
        <b/>
        <sz val="10"/>
        <color theme="1"/>
        <rFont val="Arial"/>
        <family val="2"/>
        <scheme val="minor"/>
      </rPr>
      <t xml:space="preserve">potencia nominal </t>
    </r>
    <r>
      <rPr>
        <i/>
        <sz val="9"/>
        <color theme="1"/>
        <rFont val="Arial"/>
        <family val="2"/>
        <scheme val="minor"/>
      </rPr>
      <t>(ver placa del equipo nuevo)</t>
    </r>
  </si>
  <si>
    <r>
      <t xml:space="preserve">1. Ingrese la </t>
    </r>
    <r>
      <rPr>
        <b/>
        <sz val="10"/>
        <color theme="1"/>
        <rFont val="Arial"/>
        <family val="2"/>
        <scheme val="minor"/>
      </rPr>
      <t>potencia eléctrica LED</t>
    </r>
  </si>
  <si>
    <r>
      <t xml:space="preserve">4. Ingrese el </t>
    </r>
    <r>
      <rPr>
        <b/>
        <sz val="10"/>
        <color theme="1"/>
        <rFont val="Arial"/>
        <family val="2"/>
        <scheme val="minor"/>
      </rPr>
      <t>tiempo de uso</t>
    </r>
  </si>
  <si>
    <r>
      <t xml:space="preserve">1. Seleccione el </t>
    </r>
    <r>
      <rPr>
        <b/>
        <sz val="10"/>
        <color theme="1"/>
        <rFont val="Arial"/>
        <family val="2"/>
        <scheme val="minor"/>
      </rPr>
      <t>tipo de cocina reemplazada</t>
    </r>
  </si>
  <si>
    <r>
      <t xml:space="preserve">2. Ingrese la cantidad de </t>
    </r>
    <r>
      <rPr>
        <b/>
        <sz val="10"/>
        <color theme="1"/>
        <rFont val="Arial"/>
        <family val="2"/>
        <scheme val="minor"/>
      </rPr>
      <t>energético consumido</t>
    </r>
  </si>
  <si>
    <r>
      <t xml:space="preserve">1. Ingrese la cantidad de emisiones </t>
    </r>
    <r>
      <rPr>
        <b/>
        <sz val="10"/>
        <color theme="1"/>
        <rFont val="Arial"/>
        <family val="2"/>
        <scheme val="minor"/>
      </rPr>
      <t>generadas</t>
    </r>
  </si>
  <si>
    <r>
      <t xml:space="preserve">2. Ingrese la cantidad de emisiones </t>
    </r>
    <r>
      <rPr>
        <b/>
        <sz val="10"/>
        <color theme="1"/>
        <rFont val="Arial"/>
        <family val="2"/>
        <scheme val="minor"/>
      </rPr>
      <t>evitadas</t>
    </r>
  </si>
  <si>
    <r>
      <t xml:space="preserve">1. Seleccione el </t>
    </r>
    <r>
      <rPr>
        <b/>
        <sz val="10"/>
        <color theme="1"/>
        <rFont val="Arial"/>
        <family val="2"/>
        <scheme val="minor"/>
      </rPr>
      <t>tipo de certificación</t>
    </r>
    <r>
      <rPr>
        <sz val="10"/>
        <color theme="1"/>
        <rFont val="Arial"/>
        <family val="2"/>
        <scheme val="minor"/>
      </rPr>
      <t xml:space="preserve"> con la que cuenta su edificio</t>
    </r>
  </si>
  <si>
    <r>
      <t xml:space="preserve">2. Seleccione el </t>
    </r>
    <r>
      <rPr>
        <b/>
        <sz val="10"/>
        <color theme="1"/>
        <rFont val="Arial"/>
        <family val="2"/>
        <scheme val="minor"/>
      </rPr>
      <t>tipo de beneficio</t>
    </r>
    <r>
      <rPr>
        <sz val="10"/>
        <color theme="1"/>
        <rFont val="Arial"/>
        <family val="2"/>
        <scheme val="minor"/>
      </rPr>
      <t xml:space="preserve"> que espera obtener</t>
    </r>
  </si>
  <si>
    <r>
      <t xml:space="preserve">3. Ingrese el </t>
    </r>
    <r>
      <rPr>
        <b/>
        <sz val="10"/>
        <color theme="1"/>
        <rFont val="Arial"/>
        <family val="2"/>
        <scheme val="minor"/>
      </rPr>
      <t>beneficio</t>
    </r>
    <r>
      <rPr>
        <sz val="10"/>
        <color theme="1"/>
        <rFont val="Arial"/>
        <family val="2"/>
        <scheme val="minor"/>
      </rPr>
      <t xml:space="preserve"> </t>
    </r>
    <r>
      <rPr>
        <b/>
        <sz val="10"/>
        <color theme="1"/>
        <rFont val="Arial"/>
        <family val="2"/>
        <scheme val="minor"/>
      </rPr>
      <t>anual</t>
    </r>
    <r>
      <rPr>
        <sz val="10"/>
        <color theme="1"/>
        <rFont val="Arial"/>
        <family val="2"/>
        <scheme val="minor"/>
      </rPr>
      <t xml:space="preserve"> estimado</t>
    </r>
  </si>
  <si>
    <r>
      <t xml:space="preserve">1. Ingrese la cantidad de emisiones </t>
    </r>
    <r>
      <rPr>
        <b/>
        <sz val="10"/>
        <color theme="1"/>
        <rFont val="Arial"/>
        <family val="2"/>
        <scheme val="minor"/>
      </rPr>
      <t>evitadas</t>
    </r>
  </si>
  <si>
    <t>AGUA</t>
  </si>
  <si>
    <t>ENERGÍA</t>
  </si>
  <si>
    <t>MATERIALES</t>
  </si>
  <si>
    <r>
      <rPr>
        <sz val="11"/>
        <color theme="1"/>
        <rFont val="Calibri"/>
        <family val="2"/>
      </rPr>
      <t>≥</t>
    </r>
    <r>
      <rPr>
        <sz val="11"/>
        <color theme="1"/>
        <rFont val="Arial"/>
        <family val="2"/>
      </rPr>
      <t>20% ahorro</t>
    </r>
  </si>
  <si>
    <r>
      <rPr>
        <sz val="11"/>
        <color theme="1"/>
        <rFont val="Calibri"/>
        <family val="2"/>
      </rPr>
      <t>≥4</t>
    </r>
    <r>
      <rPr>
        <sz val="11"/>
        <color theme="1"/>
        <rFont val="Arial"/>
        <family val="2"/>
      </rPr>
      <t>0% ahorro</t>
    </r>
  </si>
  <si>
    <t>100 ahorro</t>
  </si>
  <si>
    <r>
      <t xml:space="preserve">2. Ingrese la </t>
    </r>
    <r>
      <rPr>
        <b/>
        <sz val="10"/>
        <color theme="1"/>
        <rFont val="Arial"/>
        <family val="2"/>
        <scheme val="minor"/>
      </rPr>
      <t>cantidad</t>
    </r>
    <r>
      <rPr>
        <sz val="10"/>
        <color theme="1"/>
        <rFont val="Arial"/>
        <family val="2"/>
        <scheme val="minor"/>
      </rPr>
      <t xml:space="preserve"> de equipos implementados</t>
    </r>
  </si>
  <si>
    <t>equipos</t>
  </si>
  <si>
    <r>
      <t xml:space="preserve">3. Ingrese el </t>
    </r>
    <r>
      <rPr>
        <b/>
        <sz val="10"/>
        <color theme="1"/>
        <rFont val="Arial"/>
        <family val="2"/>
        <scheme val="minor"/>
      </rPr>
      <t>tiempo de uso</t>
    </r>
    <r>
      <rPr>
        <sz val="10"/>
        <color theme="1"/>
        <rFont val="Arial"/>
        <family val="2"/>
        <scheme val="minor"/>
      </rPr>
      <t xml:space="preserve"> del equipo</t>
    </r>
  </si>
  <si>
    <r>
      <t xml:space="preserve">2. Ingrese la </t>
    </r>
    <r>
      <rPr>
        <b/>
        <sz val="10"/>
        <color theme="1"/>
        <rFont val="Arial"/>
        <family val="2"/>
        <scheme val="minor"/>
      </rPr>
      <t>cantidad de luminarias</t>
    </r>
    <r>
      <rPr>
        <sz val="10"/>
        <color theme="1"/>
        <rFont val="Arial"/>
        <family val="2"/>
        <scheme val="minor"/>
      </rPr>
      <t xml:space="preserve"> implementadas</t>
    </r>
  </si>
  <si>
    <t>luminarias</t>
  </si>
  <si>
    <r>
      <t>2. Ingrese la cantidad</t>
    </r>
    <r>
      <rPr>
        <b/>
        <sz val="10"/>
        <color theme="1"/>
        <rFont val="Arial"/>
        <family val="2"/>
        <scheme val="minor"/>
      </rPr>
      <t xml:space="preserve"> </t>
    </r>
    <r>
      <rPr>
        <sz val="10"/>
        <color theme="1"/>
        <rFont val="Arial"/>
        <family val="2"/>
        <scheme val="minor"/>
      </rPr>
      <t>de</t>
    </r>
    <r>
      <rPr>
        <b/>
        <sz val="10"/>
        <color theme="1"/>
        <rFont val="Arial"/>
        <family val="2"/>
        <scheme val="minor"/>
      </rPr>
      <t xml:space="preserve"> energía anual</t>
    </r>
  </si>
  <si>
    <t>cercas</t>
  </si>
  <si>
    <t>lámparas</t>
  </si>
  <si>
    <r>
      <t xml:space="preserve">2. Ingrese la </t>
    </r>
    <r>
      <rPr>
        <b/>
        <sz val="10"/>
        <color theme="1"/>
        <rFont val="Arial"/>
        <family val="2"/>
        <scheme val="minor"/>
      </rPr>
      <t>cantidad</t>
    </r>
    <r>
      <rPr>
        <sz val="10"/>
        <color theme="1"/>
        <rFont val="Arial"/>
        <family val="2"/>
        <scheme val="minor"/>
      </rPr>
      <t xml:space="preserve"> de biomasa</t>
    </r>
  </si>
  <si>
    <r>
      <t xml:space="preserve">1. Seleccione el </t>
    </r>
    <r>
      <rPr>
        <b/>
        <sz val="10"/>
        <color theme="1"/>
        <rFont val="Arial"/>
        <family val="2"/>
        <scheme val="minor"/>
      </rPr>
      <t>tipo de biomasa</t>
    </r>
  </si>
  <si>
    <r>
      <t xml:space="preserve">3. Seleccione el </t>
    </r>
    <r>
      <rPr>
        <b/>
        <sz val="10"/>
        <color theme="1"/>
        <rFont val="Arial"/>
        <family val="2"/>
        <scheme val="minor"/>
      </rPr>
      <t>tipo de combustible reemplazado</t>
    </r>
  </si>
  <si>
    <t>animal/día</t>
  </si>
  <si>
    <r>
      <t xml:space="preserve">2. Ingrese el </t>
    </r>
    <r>
      <rPr>
        <b/>
        <sz val="10"/>
        <color theme="1"/>
        <rFont val="Arial"/>
        <family val="2"/>
        <scheme val="minor"/>
      </rPr>
      <t>número de animales</t>
    </r>
    <r>
      <rPr>
        <sz val="10"/>
        <color theme="1"/>
        <rFont val="Arial"/>
        <family val="2"/>
        <scheme val="minor"/>
      </rPr>
      <t xml:space="preserve"> de los cuales recolecta las excretas</t>
    </r>
  </si>
  <si>
    <r>
      <t xml:space="preserve">3. Seleccione: </t>
    </r>
    <r>
      <rPr>
        <i/>
        <sz val="10"/>
        <color theme="1"/>
        <rFont val="Arial"/>
        <family val="2"/>
        <scheme val="minor"/>
      </rPr>
      <t>¿Los animales se encuentran en establos/corrales?</t>
    </r>
  </si>
  <si>
    <r>
      <t xml:space="preserve">1. Ingrese el </t>
    </r>
    <r>
      <rPr>
        <b/>
        <sz val="10"/>
        <color theme="1"/>
        <rFont val="Arial"/>
        <family val="2"/>
        <scheme val="minor"/>
      </rPr>
      <t>volumen del acumulador</t>
    </r>
  </si>
  <si>
    <r>
      <t xml:space="preserve">1. Ingrese la </t>
    </r>
    <r>
      <rPr>
        <b/>
        <sz val="10"/>
        <color theme="1"/>
        <rFont val="Arial"/>
        <family val="2"/>
        <scheme val="minor"/>
      </rPr>
      <t>temperatura de secado</t>
    </r>
  </si>
  <si>
    <r>
      <t xml:space="preserve">2. Ingrese el </t>
    </r>
    <r>
      <rPr>
        <b/>
        <sz val="10"/>
        <color theme="1"/>
        <rFont val="Arial"/>
        <family val="2"/>
        <scheme val="minor"/>
      </rPr>
      <t>volumen</t>
    </r>
    <r>
      <rPr>
        <sz val="10"/>
        <color theme="1"/>
        <rFont val="Arial"/>
        <family val="2"/>
        <scheme val="minor"/>
      </rPr>
      <t xml:space="preserve"> de la cámara de secado</t>
    </r>
  </si>
  <si>
    <r>
      <t xml:space="preserve">3. Ingrese la </t>
    </r>
    <r>
      <rPr>
        <b/>
        <sz val="10"/>
        <color theme="1"/>
        <rFont val="Arial"/>
        <family val="2"/>
        <scheme val="minor"/>
      </rPr>
      <t>cantidad</t>
    </r>
    <r>
      <rPr>
        <sz val="10"/>
        <color theme="1"/>
        <rFont val="Arial"/>
        <family val="2"/>
        <scheme val="minor"/>
      </rPr>
      <t xml:space="preserve"> de masa a deshidratar</t>
    </r>
  </si>
  <si>
    <r>
      <t xml:space="preserve">4. Ingrese la </t>
    </r>
    <r>
      <rPr>
        <b/>
        <sz val="10"/>
        <color theme="1"/>
        <rFont val="Arial"/>
        <family val="2"/>
        <scheme val="minor"/>
      </rPr>
      <t>cantidad</t>
    </r>
    <r>
      <rPr>
        <sz val="10"/>
        <color theme="1"/>
        <rFont val="Arial"/>
        <family val="2"/>
        <scheme val="minor"/>
      </rPr>
      <t xml:space="preserve"> de masa deshidratada</t>
    </r>
  </si>
  <si>
    <r>
      <t>5. Ingrese el dato de</t>
    </r>
    <r>
      <rPr>
        <b/>
        <sz val="10"/>
        <color theme="1"/>
        <rFont val="Arial"/>
        <family val="2"/>
        <scheme val="minor"/>
      </rPr>
      <t xml:space="preserve"> calor específico (Cp)</t>
    </r>
    <r>
      <rPr>
        <sz val="10"/>
        <color theme="1"/>
        <rFont val="Arial"/>
        <family val="2"/>
        <scheme val="minor"/>
      </rPr>
      <t xml:space="preserve"> del alimento a deshidratar</t>
    </r>
  </si>
  <si>
    <r>
      <t xml:space="preserve">6. Seleccione el </t>
    </r>
    <r>
      <rPr>
        <b/>
        <sz val="10"/>
        <color theme="1"/>
        <rFont val="Arial"/>
        <family val="2"/>
        <scheme val="minor"/>
      </rPr>
      <t>energético reemplazado</t>
    </r>
  </si>
  <si>
    <r>
      <t xml:space="preserve">7. Ingrese el </t>
    </r>
    <r>
      <rPr>
        <b/>
        <sz val="10"/>
        <color theme="1"/>
        <rFont val="Arial"/>
        <family val="2"/>
        <scheme val="minor"/>
      </rPr>
      <t>tiempo</t>
    </r>
    <r>
      <rPr>
        <sz val="10"/>
        <color theme="1"/>
        <rFont val="Arial"/>
        <family val="2"/>
        <scheme val="minor"/>
      </rPr>
      <t xml:space="preserve"> de operaciones al año</t>
    </r>
  </si>
  <si>
    <r>
      <t xml:space="preserve">1. Ingrese el </t>
    </r>
    <r>
      <rPr>
        <b/>
        <sz val="10"/>
        <color theme="1"/>
        <rFont val="Arial"/>
        <family val="2"/>
        <scheme val="minor"/>
      </rPr>
      <t>área</t>
    </r>
    <r>
      <rPr>
        <sz val="10"/>
        <color theme="1"/>
        <rFont val="Arial"/>
        <family val="2"/>
        <scheme val="minor"/>
      </rPr>
      <t xml:space="preserve"> de la piscinas con alimentadores</t>
    </r>
  </si>
  <si>
    <r>
      <t xml:space="preserve">2. Ingrese el dato de </t>
    </r>
    <r>
      <rPr>
        <b/>
        <sz val="10"/>
        <color theme="1"/>
        <rFont val="Arial"/>
        <family val="2"/>
        <scheme val="minor"/>
      </rPr>
      <t>producción</t>
    </r>
  </si>
  <si>
    <r>
      <t xml:space="preserve">3. Ingrese el </t>
    </r>
    <r>
      <rPr>
        <b/>
        <sz val="10"/>
        <color theme="1"/>
        <rFont val="Arial"/>
        <family val="2"/>
        <scheme val="minor"/>
      </rPr>
      <t>número de ciclos</t>
    </r>
  </si>
  <si>
    <t>oxigenadores</t>
  </si>
  <si>
    <r>
      <t xml:space="preserve">3. Ingrese las </t>
    </r>
    <r>
      <rPr>
        <b/>
        <sz val="10"/>
        <color theme="1"/>
        <rFont val="Arial"/>
        <family val="2"/>
        <scheme val="minor"/>
      </rPr>
      <t>horas</t>
    </r>
    <r>
      <rPr>
        <sz val="10"/>
        <color theme="1"/>
        <rFont val="Arial"/>
        <family val="2"/>
        <scheme val="minor"/>
      </rPr>
      <t xml:space="preserve"> de uso del equipo</t>
    </r>
  </si>
  <si>
    <r>
      <t xml:space="preserve">4. Ingrese los </t>
    </r>
    <r>
      <rPr>
        <b/>
        <sz val="10"/>
        <color theme="1"/>
        <rFont val="Arial"/>
        <family val="2"/>
        <scheme val="minor"/>
      </rPr>
      <t>días</t>
    </r>
    <r>
      <rPr>
        <sz val="10"/>
        <color theme="1"/>
        <rFont val="Arial"/>
        <family val="2"/>
        <scheme val="minor"/>
      </rPr>
      <t xml:space="preserve"> de uso del equipo</t>
    </r>
  </si>
  <si>
    <t>2. Ingrese la</t>
  </si>
  <si>
    <r>
      <t xml:space="preserve">3. Ingrese las </t>
    </r>
    <r>
      <rPr>
        <b/>
        <sz val="10"/>
        <color theme="1"/>
        <rFont val="Arial"/>
        <family val="2"/>
        <scheme val="minor"/>
      </rPr>
      <t>horas de generación</t>
    </r>
  </si>
  <si>
    <r>
      <t xml:space="preserve">2. Seleccione la </t>
    </r>
    <r>
      <rPr>
        <b/>
        <sz val="10"/>
        <color theme="1"/>
        <rFont val="Arial"/>
        <family val="2"/>
        <scheme val="minor"/>
      </rPr>
      <t>capacidad</t>
    </r>
    <r>
      <rPr>
        <sz val="10"/>
        <color theme="1"/>
        <rFont val="Arial"/>
        <family val="2"/>
        <scheme val="minor"/>
      </rPr>
      <t xml:space="preserve"> de la planta de tratamiento</t>
    </r>
  </si>
  <si>
    <r>
      <t xml:space="preserve">1. Seleccione el </t>
    </r>
    <r>
      <rPr>
        <b/>
        <sz val="10"/>
        <color theme="1"/>
        <rFont val="Arial"/>
        <family val="2"/>
        <scheme val="minor"/>
      </rPr>
      <t>tipo efluente</t>
    </r>
    <r>
      <rPr>
        <sz val="10"/>
        <color theme="1"/>
        <rFont val="Arial"/>
        <family val="2"/>
        <scheme val="minor"/>
      </rPr>
      <t xml:space="preserve"> destinado a la planta de tratamiento</t>
    </r>
  </si>
  <si>
    <t>1. Ingrese la capacidad del tanque o reservorio de almacenamiento</t>
  </si>
  <si>
    <r>
      <t xml:space="preserve">1. Seleccione el </t>
    </r>
    <r>
      <rPr>
        <b/>
        <sz val="10"/>
        <color theme="1"/>
        <rFont val="Arial"/>
        <family val="2"/>
        <scheme val="minor"/>
      </rPr>
      <t xml:space="preserve">uso principal </t>
    </r>
    <r>
      <rPr>
        <sz val="10"/>
        <color theme="1"/>
        <rFont val="Arial"/>
        <family val="2"/>
        <scheme val="minor"/>
      </rPr>
      <t>que le va a dar al sistema de aprovechamiento</t>
    </r>
  </si>
  <si>
    <r>
      <t xml:space="preserve">2. Ingrese la </t>
    </r>
    <r>
      <rPr>
        <b/>
        <sz val="10"/>
        <color theme="1"/>
        <rFont val="Arial"/>
        <family val="2"/>
        <scheme val="minor"/>
      </rPr>
      <t>capacidad</t>
    </r>
    <r>
      <rPr>
        <sz val="10"/>
        <color theme="1"/>
        <rFont val="Arial"/>
        <family val="2"/>
        <scheme val="minor"/>
      </rPr>
      <t xml:space="preserve"> del tanque o reservorio de almacenamiento</t>
    </r>
  </si>
  <si>
    <r>
      <t xml:space="preserve">3. Ingrese los </t>
    </r>
    <r>
      <rPr>
        <b/>
        <sz val="10"/>
        <color theme="1"/>
        <rFont val="Arial"/>
        <family val="2"/>
        <scheme val="minor"/>
      </rPr>
      <t>días estimados</t>
    </r>
    <r>
      <rPr>
        <sz val="10"/>
        <color theme="1"/>
        <rFont val="Arial"/>
        <family val="2"/>
        <scheme val="minor"/>
      </rPr>
      <t xml:space="preserve"> de consumo del volumen del tanque</t>
    </r>
  </si>
  <si>
    <r>
      <t xml:space="preserve">4. Ingrese los </t>
    </r>
    <r>
      <rPr>
        <b/>
        <sz val="10"/>
        <color theme="1"/>
        <rFont val="Arial"/>
        <family val="2"/>
        <scheme val="minor"/>
      </rPr>
      <t>meses</t>
    </r>
    <r>
      <rPr>
        <sz val="10"/>
        <color theme="1"/>
        <rFont val="Arial"/>
        <family val="2"/>
        <scheme val="minor"/>
      </rPr>
      <t xml:space="preserve"> al año en los que espera captar el agua lluvia</t>
    </r>
  </si>
  <si>
    <r>
      <t xml:space="preserve">2. Ingrese los </t>
    </r>
    <r>
      <rPr>
        <b/>
        <sz val="10"/>
        <color theme="1"/>
        <rFont val="Arial"/>
        <family val="2"/>
        <scheme val="minor"/>
      </rPr>
      <t>días estimados</t>
    </r>
    <r>
      <rPr>
        <sz val="10"/>
        <color theme="1"/>
        <rFont val="Arial"/>
        <family val="2"/>
        <scheme val="minor"/>
      </rPr>
      <t xml:space="preserve"> de consumo del volumen del tanque</t>
    </r>
  </si>
  <si>
    <r>
      <t xml:space="preserve">3. Ingrese los </t>
    </r>
    <r>
      <rPr>
        <b/>
        <sz val="10"/>
        <color theme="1"/>
        <rFont val="Arial"/>
        <family val="2"/>
        <scheme val="minor"/>
      </rPr>
      <t>meses</t>
    </r>
    <r>
      <rPr>
        <sz val="10"/>
        <color theme="1"/>
        <rFont val="Arial"/>
        <family val="2"/>
        <scheme val="minor"/>
      </rPr>
      <t xml:space="preserve"> al año en los que espera captar el agua lluvia</t>
    </r>
  </si>
  <si>
    <t>metros</t>
  </si>
  <si>
    <t>Anterior</t>
  </si>
  <si>
    <t>Seleccione el tipo de certificación</t>
  </si>
  <si>
    <r>
      <t xml:space="preserve">1. Ingrese el </t>
    </r>
    <r>
      <rPr>
        <b/>
        <sz val="10"/>
        <color theme="1"/>
        <rFont val="Arial"/>
        <family val="2"/>
        <scheme val="minor"/>
      </rPr>
      <t>área</t>
    </r>
    <r>
      <rPr>
        <sz val="10"/>
        <color theme="1"/>
        <rFont val="Arial"/>
        <family val="2"/>
        <scheme val="minor"/>
      </rPr>
      <t xml:space="preserve"> del terreno destinado a sistemas silvopastoriles</t>
    </r>
  </si>
  <si>
    <r>
      <t xml:space="preserve">2. Indique el </t>
    </r>
    <r>
      <rPr>
        <b/>
        <sz val="10"/>
        <color theme="1"/>
        <rFont val="Arial"/>
        <family val="2"/>
        <scheme val="minor"/>
      </rPr>
      <t>porcentaje</t>
    </r>
    <r>
      <rPr>
        <sz val="10"/>
        <color theme="1"/>
        <rFont val="Arial"/>
        <family val="2"/>
        <scheme val="minor"/>
      </rPr>
      <t xml:space="preserve"> aproximado del área total destinada a bosque</t>
    </r>
  </si>
  <si>
    <r>
      <t xml:space="preserve">1. Ingrese el </t>
    </r>
    <r>
      <rPr>
        <b/>
        <sz val="10"/>
        <color theme="1"/>
        <rFont val="Arial"/>
        <family val="2"/>
        <scheme val="minor"/>
      </rPr>
      <t>área</t>
    </r>
    <r>
      <rPr>
        <sz val="10"/>
        <color theme="1"/>
        <rFont val="Arial"/>
        <family val="2"/>
        <scheme val="minor"/>
      </rPr>
      <t xml:space="preserve"> del terreno que piensa cubrir </t>
    </r>
    <r>
      <rPr>
        <i/>
        <sz val="9"/>
        <color theme="1"/>
        <rFont val="Arial"/>
        <family val="2"/>
        <scheme val="minor"/>
      </rPr>
      <t>(seleccione las unidades)</t>
    </r>
  </si>
  <si>
    <r>
      <t xml:space="preserve">2. Seleccione el </t>
    </r>
    <r>
      <rPr>
        <b/>
        <sz val="10"/>
        <color theme="1"/>
        <rFont val="Arial"/>
        <family val="2"/>
        <scheme val="minor"/>
      </rPr>
      <t>tipo de cultivo</t>
    </r>
    <r>
      <rPr>
        <sz val="10"/>
        <color theme="1"/>
        <rFont val="Arial"/>
        <family val="2"/>
        <scheme val="minor"/>
      </rPr>
      <t xml:space="preserve"> en el que implementará el sistema</t>
    </r>
  </si>
  <si>
    <r>
      <t>2. Seleccione el</t>
    </r>
    <r>
      <rPr>
        <b/>
        <sz val="10"/>
        <color theme="1"/>
        <rFont val="Arial"/>
        <family val="2"/>
        <scheme val="minor"/>
      </rPr>
      <t xml:space="preserve"> tipo de cultivo</t>
    </r>
    <r>
      <rPr>
        <sz val="10"/>
        <color theme="1"/>
        <rFont val="Arial"/>
        <family val="2"/>
        <scheme val="minor"/>
      </rPr>
      <t xml:space="preserve"> en el que implementará el sistema</t>
    </r>
  </si>
  <si>
    <r>
      <t xml:space="preserve">1. Ingrese la </t>
    </r>
    <r>
      <rPr>
        <b/>
        <sz val="10"/>
        <color theme="1"/>
        <rFont val="Arial"/>
        <family val="2"/>
        <scheme val="minor"/>
      </rPr>
      <t>cantidad</t>
    </r>
    <r>
      <rPr>
        <sz val="10"/>
        <color theme="1"/>
        <rFont val="Arial"/>
        <family val="2"/>
        <scheme val="minor"/>
      </rPr>
      <t xml:space="preserve"> de hectáreas certificadas</t>
    </r>
  </si>
  <si>
    <t>Kg/día</t>
  </si>
  <si>
    <r>
      <t xml:space="preserve">1. Ingrese la </t>
    </r>
    <r>
      <rPr>
        <b/>
        <sz val="10"/>
        <color theme="1"/>
        <rFont val="Arial"/>
        <family val="2"/>
        <scheme val="minor"/>
      </rPr>
      <t>cantidad</t>
    </r>
    <r>
      <rPr>
        <sz val="10"/>
        <color theme="1"/>
        <rFont val="Arial"/>
        <family val="2"/>
        <scheme val="minor"/>
      </rPr>
      <t xml:space="preserve"> de residuos orgánicos que espera procesar</t>
    </r>
  </si>
  <si>
    <r>
      <t xml:space="preserve">2. Ingrese la </t>
    </r>
    <r>
      <rPr>
        <b/>
        <sz val="10"/>
        <color theme="1"/>
        <rFont val="Arial"/>
        <family val="2"/>
        <scheme val="minor"/>
      </rPr>
      <t>cantidad</t>
    </r>
    <r>
      <rPr>
        <sz val="10"/>
        <color theme="1"/>
        <rFont val="Arial"/>
        <family val="2"/>
        <scheme val="minor"/>
      </rPr>
      <t xml:space="preserve"> de recicladores con los que espera trabajar</t>
    </r>
  </si>
  <si>
    <r>
      <t xml:space="preserve">1. Seleccione el </t>
    </r>
    <r>
      <rPr>
        <b/>
        <sz val="10"/>
        <color theme="1"/>
        <rFont val="Arial"/>
        <family val="2"/>
        <scheme val="minor"/>
      </rPr>
      <t>tipo de beneficio</t>
    </r>
    <r>
      <rPr>
        <sz val="10"/>
        <color theme="1"/>
        <rFont val="Arial"/>
        <family val="2"/>
        <scheme val="minor"/>
      </rPr>
      <t xml:space="preserve"> a conseguir</t>
    </r>
  </si>
  <si>
    <r>
      <t xml:space="preserve">2. Seleccione el </t>
    </r>
    <r>
      <rPr>
        <b/>
        <sz val="10"/>
        <color theme="1"/>
        <rFont val="Arial"/>
        <family val="2"/>
        <scheme val="minor"/>
      </rPr>
      <t>tipo de combustible</t>
    </r>
  </si>
  <si>
    <r>
      <t xml:space="preserve">NOTA: </t>
    </r>
    <r>
      <rPr>
        <sz val="9"/>
        <color theme="1"/>
        <rFont val="Arial"/>
        <family val="2"/>
        <scheme val="minor"/>
      </rPr>
      <t>Las emisiones de CO2 evitadas corresponden a las que generaría el combustible desplazado por biomasa.
Para este caso particular la biomasa es elaborada en su totalidad con los residuos de la propia planta, por lo que las emisiones de su combustión se consideran neutras.</t>
    </r>
  </si>
  <si>
    <t>Cantidad anual de energía generada (kWh/año)</t>
  </si>
  <si>
    <t xml:space="preserve">Cantidad anual de energía generada (kWh/año) </t>
  </si>
  <si>
    <t xml:space="preserve"> =  Producción anual de biogás (m3/año)*Potencial de generación eléctrica del biogás (kWh/m3 de biogas)</t>
  </si>
  <si>
    <t xml:space="preserve"> =  Cantidad anual de energía generada (kWh/año)*Factor de emision del GLP (Kg CO2/kWh)/1000</t>
  </si>
  <si>
    <t>Potencial de generación eléctrica del biogás (kWh/m3 de biogas)</t>
  </si>
  <si>
    <t>Factor de emision del GLP (Kg CO2/kWh)</t>
  </si>
  <si>
    <r>
      <rPr>
        <b/>
        <sz val="10"/>
        <color theme="1"/>
        <rFont val="Arial"/>
        <family val="2"/>
        <scheme val="minor"/>
      </rPr>
      <t>Emisiones evitadas</t>
    </r>
    <r>
      <rPr>
        <sz val="10"/>
        <color theme="1"/>
        <rFont val="Arial"/>
        <family val="2"/>
        <scheme val="minor"/>
      </rPr>
      <t xml:space="preserve"> considerando como combustible </t>
    </r>
    <r>
      <rPr>
        <b/>
        <sz val="10"/>
        <color theme="1"/>
        <rFont val="Arial"/>
        <family val="2"/>
        <scheme val="minor"/>
      </rPr>
      <t>GLP</t>
    </r>
  </si>
  <si>
    <r>
      <t xml:space="preserve">1. Selecciones el </t>
    </r>
    <r>
      <rPr>
        <b/>
        <sz val="10"/>
        <color theme="1"/>
        <rFont val="Arial"/>
        <family val="2"/>
        <scheme val="minor"/>
      </rPr>
      <t>origen de las excretas</t>
    </r>
    <r>
      <rPr>
        <sz val="10"/>
        <color theme="1"/>
        <rFont val="Arial"/>
        <family val="2"/>
        <scheme val="minor"/>
      </rPr>
      <t xml:space="preserve"> a ingresar en el biodigestor</t>
    </r>
  </si>
  <si>
    <r>
      <t xml:space="preserve">2. Seleccione el </t>
    </r>
    <r>
      <rPr>
        <b/>
        <sz val="10"/>
        <color theme="1"/>
        <rFont val="Arial"/>
        <family val="2"/>
        <scheme val="minor"/>
      </rPr>
      <t>energético reemplazado</t>
    </r>
  </si>
  <si>
    <t>SECADORES SOLARES</t>
  </si>
  <si>
    <t>Se asumen eficiencias de combustión e intercambiadores de calor para diésel, y glp (GN)</t>
  </si>
  <si>
    <t>Se asume que los cambios de esta tecnología reemplazan la alimentación manual a al menos la acústica y se calculan los resultados únicamente considerando las mejoras en producción</t>
  </si>
  <si>
    <t xml:space="preserve">1. Ingrese la cantidad de </t>
  </si>
  <si>
    <r>
      <t xml:space="preserve">3. Ingrese el </t>
    </r>
    <r>
      <rPr>
        <b/>
        <sz val="10"/>
        <color theme="1"/>
        <rFont val="Arial"/>
        <family val="2"/>
        <scheme val="minor"/>
      </rPr>
      <t>beneficio anual estimado</t>
    </r>
  </si>
  <si>
    <t xml:space="preserve">2. Ingrese la cantidad de </t>
  </si>
  <si>
    <t>formarán parte del bioemprendimiento?</t>
  </si>
  <si>
    <r>
      <t xml:space="preserve">1. Seleccione la </t>
    </r>
    <r>
      <rPr>
        <b/>
        <sz val="10"/>
        <color theme="1"/>
        <rFont val="Arial"/>
        <family val="2"/>
        <scheme val="minor"/>
      </rPr>
      <t>certificación</t>
    </r>
  </si>
  <si>
    <r>
      <t xml:space="preserve">2. Ingrese la </t>
    </r>
    <r>
      <rPr>
        <b/>
        <sz val="10"/>
        <color theme="1"/>
        <rFont val="Arial"/>
        <family val="2"/>
        <scheme val="minor"/>
      </rPr>
      <t>cantidad</t>
    </r>
    <r>
      <rPr>
        <sz val="10"/>
        <color theme="1"/>
        <rFont val="Arial"/>
        <family val="2"/>
        <scheme val="minor"/>
      </rPr>
      <t xml:space="preserve"> de hectáreas certificadas</t>
    </r>
  </si>
  <si>
    <t>bioemprendimiento</t>
  </si>
  <si>
    <r>
      <t xml:space="preserve">1. Ingrese el número de </t>
    </r>
    <r>
      <rPr>
        <b/>
        <sz val="10"/>
        <color theme="1"/>
        <rFont val="Arial"/>
        <family val="2"/>
        <scheme val="minor"/>
      </rPr>
      <t>plazas de trabajo</t>
    </r>
    <r>
      <rPr>
        <sz val="10"/>
        <color theme="1"/>
        <rFont val="Arial"/>
        <family val="2"/>
        <scheme val="minor"/>
      </rPr>
      <t xml:space="preserve"> que se generarán con el </t>
    </r>
  </si>
  <si>
    <r>
      <t xml:space="preserve">2. Ingrese el número de </t>
    </r>
    <r>
      <rPr>
        <b/>
        <sz val="10"/>
        <color theme="1"/>
        <rFont val="Arial"/>
        <family val="2"/>
        <scheme val="minor"/>
      </rPr>
      <t>comunidades u organizaciones locales</t>
    </r>
    <r>
      <rPr>
        <sz val="10"/>
        <color theme="1"/>
        <rFont val="Arial"/>
        <family val="2"/>
        <scheme val="minor"/>
      </rPr>
      <t xml:space="preserve"> que</t>
    </r>
  </si>
  <si>
    <t>Indique los tipos de residuos y cantidad que espera recuperar por día.</t>
  </si>
  <si>
    <r>
      <t xml:space="preserve">1. Seleccione el </t>
    </r>
    <r>
      <rPr>
        <b/>
        <sz val="10"/>
        <color theme="1"/>
        <rFont val="Arial"/>
        <family val="2"/>
        <scheme val="minor"/>
      </rPr>
      <t>dato de entrada</t>
    </r>
    <r>
      <rPr>
        <sz val="10"/>
        <color theme="1"/>
        <rFont val="Arial"/>
        <family val="2"/>
        <scheme val="minor"/>
      </rPr>
      <t xml:space="preserve"> del recorrido</t>
    </r>
  </si>
  <si>
    <r>
      <t xml:space="preserve">2. Ingrese el </t>
    </r>
    <r>
      <rPr>
        <b/>
        <sz val="10"/>
        <color theme="1"/>
        <rFont val="Arial"/>
        <family val="2"/>
        <scheme val="minor"/>
      </rPr>
      <t>recorrido</t>
    </r>
    <r>
      <rPr>
        <sz val="10"/>
        <color theme="1"/>
        <rFont val="Arial"/>
        <family val="2"/>
        <scheme val="minor"/>
      </rPr>
      <t xml:space="preserve"> anual</t>
    </r>
  </si>
  <si>
    <r>
      <t xml:space="preserve">3. Seleccione el </t>
    </r>
    <r>
      <rPr>
        <b/>
        <sz val="10"/>
        <color theme="1"/>
        <rFont val="Arial"/>
        <family val="2"/>
        <scheme val="minor"/>
      </rPr>
      <t>motor</t>
    </r>
    <r>
      <rPr>
        <sz val="10"/>
        <color theme="1"/>
        <rFont val="Arial"/>
        <family val="2"/>
        <scheme val="minor"/>
      </rPr>
      <t xml:space="preserve"> del vehículo reemplazado</t>
    </r>
  </si>
  <si>
    <t xml:space="preserve">2. Ingrese la </t>
  </si>
  <si>
    <t>3. Ingrese el</t>
  </si>
  <si>
    <r>
      <t xml:space="preserve">4. Ingrese la </t>
    </r>
    <r>
      <rPr>
        <b/>
        <sz val="10"/>
        <color theme="1"/>
        <rFont val="Arial"/>
        <family val="2"/>
        <scheme val="minor"/>
      </rPr>
      <t>autonomía</t>
    </r>
    <r>
      <rPr>
        <sz val="10"/>
        <color theme="1"/>
        <rFont val="Arial"/>
        <family val="2"/>
        <scheme val="minor"/>
      </rPr>
      <t xml:space="preserve"> del vehículo</t>
    </r>
  </si>
  <si>
    <r>
      <t xml:space="preserve">5. Seleccione el </t>
    </r>
    <r>
      <rPr>
        <b/>
        <sz val="10"/>
        <color theme="1"/>
        <rFont val="Arial"/>
        <family val="2"/>
        <scheme val="minor"/>
      </rPr>
      <t>dato de entrada de recorrido</t>
    </r>
  </si>
  <si>
    <r>
      <t xml:space="preserve">6. Ingrese el </t>
    </r>
    <r>
      <rPr>
        <b/>
        <sz val="10"/>
        <color theme="1"/>
        <rFont val="Arial"/>
        <family val="2"/>
        <scheme val="minor"/>
      </rPr>
      <t>recorrido</t>
    </r>
    <r>
      <rPr>
        <sz val="10"/>
        <color theme="1"/>
        <rFont val="Arial"/>
        <family val="2"/>
        <scheme val="minor"/>
      </rPr>
      <t xml:space="preserve"> anual</t>
    </r>
  </si>
  <si>
    <r>
      <t xml:space="preserve">7. Seleccione el </t>
    </r>
    <r>
      <rPr>
        <b/>
        <sz val="10"/>
        <color theme="1"/>
        <rFont val="Arial"/>
        <family val="2"/>
        <scheme val="minor"/>
      </rPr>
      <t>motor</t>
    </r>
    <r>
      <rPr>
        <sz val="10"/>
        <color theme="1"/>
        <rFont val="Arial"/>
        <family val="2"/>
        <scheme val="minor"/>
      </rPr>
      <t xml:space="preserve"> del vehículo reemplazado</t>
    </r>
  </si>
  <si>
    <r>
      <t xml:space="preserve">1. Ingrese el </t>
    </r>
    <r>
      <rPr>
        <b/>
        <sz val="10"/>
        <color theme="1"/>
        <rFont val="Arial"/>
        <family val="2"/>
        <scheme val="minor"/>
      </rPr>
      <t>recorrido</t>
    </r>
    <r>
      <rPr>
        <sz val="10"/>
        <color theme="1"/>
        <rFont val="Arial"/>
        <family val="2"/>
        <scheme val="minor"/>
      </rPr>
      <t xml:space="preserve"> aproximado al día</t>
    </r>
  </si>
  <si>
    <r>
      <t xml:space="preserve">2. Seleccione el </t>
    </r>
    <r>
      <rPr>
        <b/>
        <sz val="10"/>
        <color theme="1"/>
        <rFont val="Arial"/>
        <family val="2"/>
        <scheme val="minor"/>
      </rPr>
      <t>vehículo</t>
    </r>
    <r>
      <rPr>
        <sz val="10"/>
        <color theme="1"/>
        <rFont val="Arial"/>
        <family val="2"/>
        <scheme val="minor"/>
      </rPr>
      <t xml:space="preserve"> reemplazado</t>
    </r>
  </si>
  <si>
    <r>
      <t xml:space="preserve">1. Seleccione la </t>
    </r>
    <r>
      <rPr>
        <b/>
        <sz val="10"/>
        <color theme="1"/>
        <rFont val="Arial"/>
        <family val="2"/>
        <scheme val="minor"/>
      </rPr>
      <t>potencia</t>
    </r>
    <r>
      <rPr>
        <sz val="10"/>
        <color theme="1"/>
        <rFont val="Arial"/>
        <family val="2"/>
        <scheme val="minor"/>
      </rPr>
      <t xml:space="preserve"> del motor eléctrico</t>
    </r>
  </si>
  <si>
    <r>
      <t xml:space="preserve">2. Ingrese el </t>
    </r>
    <r>
      <rPr>
        <b/>
        <sz val="10"/>
        <color theme="1"/>
        <rFont val="Arial"/>
        <family val="2"/>
        <scheme val="minor"/>
      </rPr>
      <t>consumo</t>
    </r>
    <r>
      <rPr>
        <sz val="10"/>
        <color theme="1"/>
        <rFont val="Arial"/>
        <family val="2"/>
        <scheme val="minor"/>
      </rPr>
      <t xml:space="preserve"> diésel motor anterior</t>
    </r>
  </si>
  <si>
    <r>
      <t xml:space="preserve">3. Ingrese la </t>
    </r>
    <r>
      <rPr>
        <b/>
        <sz val="10"/>
        <color theme="1"/>
        <rFont val="Arial"/>
        <family val="2"/>
        <scheme val="minor"/>
      </rPr>
      <t>operación</t>
    </r>
    <r>
      <rPr>
        <sz val="10"/>
        <color theme="1"/>
        <rFont val="Arial"/>
        <family val="2"/>
        <scheme val="minor"/>
      </rPr>
      <t xml:space="preserve"> diaria</t>
    </r>
  </si>
  <si>
    <t>-Reducción en el consumo energético y en la huella de carbono de la operación del equipo.
-Inversión recuperable en tiempos de retorno cortos respecto a un equipo de eficiencia estándar.</t>
  </si>
  <si>
    <t>-Reducción en el consumo energético y en la huella de carbono de la operación del equipo.
-Utilización de refrigerantes amigables con el ambiente, de bajo potencial de calentamiento global y que no causan agotamiento de la capa de ozono.</t>
  </si>
  <si>
    <r>
      <t xml:space="preserve">b. Ingrese el </t>
    </r>
    <r>
      <rPr>
        <b/>
        <i/>
        <sz val="10"/>
        <color theme="1"/>
        <rFont val="Arial"/>
        <family val="2"/>
        <scheme val="minor"/>
      </rPr>
      <t>largo</t>
    </r>
    <r>
      <rPr>
        <sz val="10"/>
        <color theme="1"/>
        <rFont val="Arial"/>
        <family val="2"/>
        <scheme val="minor"/>
      </rPr>
      <t xml:space="preserve"> del equipo</t>
    </r>
  </si>
  <si>
    <r>
      <t xml:space="preserve">a. Ingrese el </t>
    </r>
    <r>
      <rPr>
        <b/>
        <i/>
        <sz val="10"/>
        <color theme="1"/>
        <rFont val="Arial"/>
        <family val="2"/>
        <scheme val="minor"/>
      </rPr>
      <t>ancho</t>
    </r>
    <r>
      <rPr>
        <sz val="10"/>
        <color theme="1"/>
        <rFont val="Arial"/>
        <family val="2"/>
        <scheme val="minor"/>
      </rPr>
      <t xml:space="preserve"> del equipo</t>
    </r>
  </si>
  <si>
    <t>Emisiones de Gases de Efecto Invernadero (GEI) evitadas (tCO2/año)</t>
  </si>
  <si>
    <t>-Emisiones de Gases de Efecto Invernadero (GEI) evitadas (tCO2/año)
-Ahorro de agua (m3/año)</t>
  </si>
  <si>
    <t>Emisiones de GEI evitadas (tCO2/año)</t>
  </si>
  <si>
    <t>-Emisiones de GEI evitadas (tCO2/año)
-Ahorro de agua (m3/año)</t>
  </si>
  <si>
    <t>tCO2 evitadas/año</t>
  </si>
  <si>
    <r>
      <t xml:space="preserve">1. Seleccione la </t>
    </r>
    <r>
      <rPr>
        <b/>
        <sz val="10"/>
        <color theme="1"/>
        <rFont val="Arial"/>
        <family val="2"/>
        <scheme val="minor"/>
      </rPr>
      <t xml:space="preserve">potencia nominal </t>
    </r>
    <r>
      <rPr>
        <i/>
        <sz val="9"/>
        <color theme="1"/>
        <rFont val="Arial"/>
        <family val="2"/>
        <scheme val="minor"/>
      </rPr>
      <t>(ver placa del equipo nuevo)</t>
    </r>
  </si>
  <si>
    <r>
      <t xml:space="preserve">4. Seleccione el </t>
    </r>
    <r>
      <rPr>
        <b/>
        <sz val="10"/>
        <color theme="1"/>
        <rFont val="Arial"/>
        <family val="2"/>
        <scheme val="minor"/>
      </rPr>
      <t>tiempo de uso</t>
    </r>
    <r>
      <rPr>
        <sz val="10"/>
        <color theme="1"/>
        <rFont val="Arial"/>
        <family val="2"/>
        <scheme val="minor"/>
      </rPr>
      <t xml:space="preserve"> del equipo</t>
    </r>
  </si>
  <si>
    <t>Consumo red eléctrica</t>
  </si>
  <si>
    <t>Evitadas</t>
  </si>
  <si>
    <t>Autogeneración Bombas solares</t>
  </si>
  <si>
    <t>Autogeneración Paneles fotovoltaicos</t>
  </si>
  <si>
    <t>Autogeneración cercas eléctricas</t>
  </si>
  <si>
    <t>Autogeneración lámparas solares</t>
  </si>
  <si>
    <t>Consumo energético anterior</t>
  </si>
  <si>
    <r>
      <t xml:space="preserve">NOTA: </t>
    </r>
    <r>
      <rPr>
        <sz val="9"/>
        <color theme="1"/>
        <rFont val="Arial"/>
        <family val="2"/>
        <scheme val="minor"/>
      </rPr>
      <t>La reducción de emisiones corresponde a la huella de carbono de producir el excedente de camarón generado gracias a la implementación de alimentadores.</t>
    </r>
  </si>
  <si>
    <r>
      <t xml:space="preserve">NOTA: </t>
    </r>
    <r>
      <rPr>
        <sz val="9"/>
        <color theme="1"/>
        <rFont val="Arial"/>
        <family val="2"/>
        <scheme val="minor"/>
      </rPr>
      <t>Las emisiones de CO2 evitadas corresponden a la electricidad generada con el sistema fotovoltaico.</t>
    </r>
  </si>
  <si>
    <r>
      <t xml:space="preserve">NOTA: </t>
    </r>
    <r>
      <rPr>
        <sz val="9"/>
        <color theme="1"/>
        <rFont val="Arial"/>
        <family val="2"/>
        <scheme val="minor"/>
      </rPr>
      <t>Las emisiones de CO2 evitadas corresponden a las que generaría el energético desplazado.</t>
    </r>
  </si>
  <si>
    <r>
      <t xml:space="preserve">NOTA: </t>
    </r>
    <r>
      <rPr>
        <sz val="9"/>
        <color theme="1"/>
        <rFont val="Arial"/>
        <family val="2"/>
        <scheme val="minor"/>
      </rPr>
      <t>Las emisiones de CO2 evitadas corresponden a la electricidad que consumirían lámparas de la misma potencia conectadas a la red eléctrica.</t>
    </r>
  </si>
  <si>
    <r>
      <t xml:space="preserve">NOTA: </t>
    </r>
    <r>
      <rPr>
        <sz val="9"/>
        <color theme="1"/>
        <rFont val="Arial"/>
        <family val="2"/>
        <scheme val="minor"/>
      </rPr>
      <t>Las emisiones de CO2 evitadas corresponden a la electricidad generada con el sistema fotovoltaico de la cerca eléctrica.</t>
    </r>
  </si>
  <si>
    <r>
      <t xml:space="preserve">NOTA: </t>
    </r>
    <r>
      <rPr>
        <sz val="9"/>
        <color theme="1"/>
        <rFont val="Arial"/>
        <family val="2"/>
        <scheme val="minor"/>
      </rPr>
      <t>Las emisiones de CO2 evitadas corresponden a la electricidad generada con el sistema fotovoltaico de las bombas.</t>
    </r>
  </si>
  <si>
    <r>
      <t>NOTA:</t>
    </r>
    <r>
      <rPr>
        <sz val="9"/>
        <color theme="1"/>
        <rFont val="Arial"/>
        <family val="2"/>
        <scheme val="minor"/>
      </rPr>
      <t xml:space="preserve"> Las emisiones de CO2 evitadas corresponden a la electricidad generada con el sistema hidroeléctrico.</t>
    </r>
  </si>
  <si>
    <t>Autogeneración hidroeléctrica</t>
  </si>
  <si>
    <t>K. Mini generadoras hidráulicas</t>
  </si>
  <si>
    <t>Vehículo 
anterior</t>
  </si>
  <si>
    <t>Generadas</t>
  </si>
  <si>
    <t>Vehículo 
híbrico</t>
  </si>
  <si>
    <t>Equipo 
anterior</t>
  </si>
  <si>
    <t>Equipo 
híbrico</t>
  </si>
  <si>
    <t>x</t>
  </si>
  <si>
    <t>Utilización 
energía solar</t>
  </si>
  <si>
    <t>Alimentación 
manual</t>
  </si>
  <si>
    <t>Uso 
alimentadores</t>
  </si>
  <si>
    <t>Nota: Los datos requeridos se encuentran en el Informe/Reporte de Auditoría de la certificación.</t>
  </si>
  <si>
    <r>
      <t xml:space="preserve">Nota: </t>
    </r>
    <r>
      <rPr>
        <b/>
        <i/>
        <sz val="9"/>
        <color theme="1"/>
        <rFont val="Arial"/>
        <family val="2"/>
        <scheme val="minor"/>
      </rPr>
      <t>Los datos requeridos se encuentran en el Informe/Reporte de Auditoría de la certificación.</t>
    </r>
  </si>
  <si>
    <t>1. Ingresar emisiones</t>
  </si>
  <si>
    <t>evitadas</t>
  </si>
  <si>
    <r>
      <t xml:space="preserve">3. Seleccione el </t>
    </r>
    <r>
      <rPr>
        <b/>
        <sz val="10"/>
        <color theme="1"/>
        <rFont val="Arial"/>
        <family val="2"/>
        <scheme val="minor"/>
      </rPr>
      <t>tipo de luminaria</t>
    </r>
    <r>
      <rPr>
        <sz val="10"/>
        <color theme="1"/>
        <rFont val="Arial"/>
        <family val="2"/>
        <scheme val="minor"/>
      </rPr>
      <t xml:space="preserve"> a reemplazar</t>
    </r>
  </si>
  <si>
    <t>Neutralizadas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</si>
</sst>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1" formatCode="_(* #,##0_);_(* \(#,##0\);_(* &quot;-&quot;_);_(@_)"/>
    <numFmt numFmtId="43" formatCode="_(* #,##0.00_);_(* \(#,##0.00\);_(* &quot;-&quot;??_);_(@_)"/>
    <numFmt numFmtId="164" formatCode="_-* #,##0\ &quot;€&quot;_-;\-* #,##0\ &quot;€&quot;_-;_-* &quot;-&quot;\ &quot;€&quot;_-;_-@_-"/>
    <numFmt numFmtId="165" formatCode="_-* #,##0.00\ &quot;€&quot;_-;\-* #,##0.00\ &quot;€&quot;_-;_-* &quot;-&quot;??\ &quot;€&quot;_-;_-@_-"/>
    <numFmt numFmtId="166" formatCode="h:mm;@"/>
    <numFmt numFmtId="167" formatCode="_(* #,##0.0_);_(* \(#,##0.0\);_(* &quot;-&quot;??_);_(@_)"/>
    <numFmt numFmtId="168" formatCode="_(* #,##0_);_(* \(#,##0\);_(* &quot;-&quot;??_);_(@_)"/>
    <numFmt numFmtId="169" formatCode="_(&quot;$&quot;* #,##0.0000000000000000_);_(&quot;$&quot;* \(#,##0.0000000000000000\);_(&quot;$&quot;* &quot;-&quot;??_);_(@_)"/>
    <numFmt numFmtId="170" formatCode="_(* #,##0.0000_);_(* \(#,##0.0000\);_(* &quot;-&quot;??_);_(@_)"/>
    <numFmt numFmtId="171" formatCode="_(* #,##0.000_);_(* \(#,##0.000\);_(* &quot;-&quot;??_);_(@_)"/>
    <numFmt numFmtId="172" formatCode="0.00000"/>
    <numFmt numFmtId="173" formatCode="0.0"/>
  </numFmts>
  <fonts count="67" x14ac:knownFonts="1">
    <font>
      <sz val="11"/>
      <color theme="1"/>
      <name val="Arial"/>
      <family val="2"/>
      <scheme val="minor"/>
    </font>
    <font>
      <sz val="11"/>
      <color theme="0"/>
      <name val="Arial"/>
      <family val="2"/>
      <scheme val="minor"/>
    </font>
    <font>
      <sz val="24"/>
      <color theme="1" tint="0.24994659260841701"/>
      <name val="Arial Black"/>
      <family val="2"/>
      <scheme val="major"/>
    </font>
    <font>
      <sz val="12"/>
      <color theme="1" tint="0.24994659260841701"/>
      <name val="Arial"/>
      <family val="2"/>
      <scheme val="minor"/>
    </font>
    <font>
      <sz val="14"/>
      <color theme="0"/>
      <name val="Arial Black"/>
      <family val="2"/>
      <scheme val="major"/>
    </font>
    <font>
      <sz val="18"/>
      <color theme="0"/>
      <name val="Arial Black"/>
      <family val="2"/>
      <scheme val="major"/>
    </font>
    <font>
      <sz val="11"/>
      <name val="Arial"/>
      <family val="2"/>
      <scheme val="minor"/>
    </font>
    <font>
      <sz val="10"/>
      <color theme="0"/>
      <name val="Arial Black"/>
      <family val="2"/>
      <scheme val="major"/>
    </font>
    <font>
      <sz val="11"/>
      <color theme="1"/>
      <name val="Arial"/>
      <family val="2"/>
      <scheme val="minor"/>
    </font>
    <font>
      <sz val="18"/>
      <color theme="1"/>
      <name val="Arial Black"/>
      <family val="2"/>
      <scheme val="maj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b/>
      <sz val="20"/>
      <color theme="0"/>
      <name val="Century Gothic"/>
      <family val="2"/>
    </font>
    <font>
      <b/>
      <sz val="10"/>
      <color theme="1"/>
      <name val="Century Gothic"/>
      <family val="2"/>
    </font>
    <font>
      <b/>
      <sz val="14"/>
      <color theme="1"/>
      <name val="Century Gothic"/>
      <family val="2"/>
    </font>
    <font>
      <b/>
      <sz val="18"/>
      <color theme="0"/>
      <name val="Century Gothic"/>
      <family val="2"/>
    </font>
    <font>
      <b/>
      <sz val="11"/>
      <color rgb="FFFF0000"/>
      <name val="Arial"/>
      <family val="2"/>
      <scheme val="minor"/>
    </font>
    <font>
      <i/>
      <sz val="11"/>
      <color theme="1"/>
      <name val="Arial"/>
      <family val="2"/>
      <scheme val="minor"/>
    </font>
    <font>
      <sz val="10"/>
      <color theme="1"/>
      <name val="Calibri Light"/>
      <family val="2"/>
    </font>
    <font>
      <sz val="10"/>
      <color theme="1"/>
      <name val="Arial"/>
      <family val="2"/>
      <scheme val="minor"/>
    </font>
    <font>
      <b/>
      <sz val="10"/>
      <color theme="1"/>
      <name val="Arial"/>
      <family val="2"/>
      <scheme val="minor"/>
    </font>
    <font>
      <i/>
      <sz val="10"/>
      <color theme="1"/>
      <name val="Arial"/>
      <family val="2"/>
      <scheme val="minor"/>
    </font>
    <font>
      <u/>
      <sz val="11"/>
      <color theme="10"/>
      <name val="Arial"/>
      <family val="2"/>
      <scheme val="minor"/>
    </font>
    <font>
      <sz val="8"/>
      <color theme="1"/>
      <name val="Arial"/>
      <family val="2"/>
      <scheme val="minor"/>
    </font>
    <font>
      <b/>
      <sz val="9"/>
      <color theme="1"/>
      <name val="Century Gothic"/>
      <family val="2"/>
    </font>
    <font>
      <sz val="9"/>
      <color theme="1"/>
      <name val="Arial"/>
      <family val="2"/>
      <scheme val="minor"/>
    </font>
    <font>
      <sz val="11"/>
      <color rgb="FFFFFF00"/>
      <name val="Arial"/>
      <family val="2"/>
      <scheme val="minor"/>
    </font>
    <font>
      <sz val="11"/>
      <color rgb="FF00B0F0"/>
      <name val="Arial"/>
      <family val="2"/>
      <scheme val="minor"/>
    </font>
    <font>
      <i/>
      <sz val="11"/>
      <color rgb="FFFFFF00"/>
      <name val="Arial"/>
      <family val="2"/>
      <scheme val="minor"/>
    </font>
    <font>
      <i/>
      <sz val="11"/>
      <color theme="3"/>
      <name val="Arial"/>
      <family val="2"/>
      <scheme val="minor"/>
    </font>
    <font>
      <i/>
      <sz val="11"/>
      <color rgb="FFFF0000"/>
      <name val="Arial"/>
      <family val="2"/>
      <scheme val="minor"/>
    </font>
    <font>
      <i/>
      <sz val="11"/>
      <color rgb="FF00B0F0"/>
      <name val="Arial"/>
      <family val="2"/>
      <scheme val="minor"/>
    </font>
    <font>
      <i/>
      <sz val="11"/>
      <color theme="9" tint="-0.499984740745262"/>
      <name val="Arial"/>
      <family val="2"/>
      <scheme val="minor"/>
    </font>
    <font>
      <sz val="11"/>
      <color theme="9" tint="-0.499984740745262"/>
      <name val="Arial"/>
      <family val="2"/>
      <scheme val="minor"/>
    </font>
    <font>
      <i/>
      <sz val="11"/>
      <color rgb="FF00B050"/>
      <name val="Arial"/>
      <family val="2"/>
      <scheme val="minor"/>
    </font>
    <font>
      <b/>
      <i/>
      <sz val="10"/>
      <color theme="8" tint="-0.249977111117893"/>
      <name val="Arial"/>
      <family val="2"/>
      <scheme val="minor"/>
    </font>
    <font>
      <b/>
      <i/>
      <sz val="11"/>
      <color theme="1"/>
      <name val="Arial"/>
      <family val="2"/>
      <scheme val="minor"/>
    </font>
    <font>
      <sz val="11"/>
      <color theme="1"/>
      <name val="Calibri Light"/>
      <family val="2"/>
    </font>
    <font>
      <b/>
      <sz val="11"/>
      <color theme="1"/>
      <name val="Calibri Light"/>
      <family val="2"/>
    </font>
    <font>
      <sz val="11"/>
      <color theme="2" tint="-9.9978637043366805E-2"/>
      <name val="Arial"/>
      <family val="2"/>
      <scheme val="minor"/>
    </font>
    <font>
      <sz val="10"/>
      <name val="Arial"/>
      <family val="2"/>
    </font>
    <font>
      <sz val="10"/>
      <name val="Arial"/>
      <family val="2"/>
      <scheme val="minor"/>
    </font>
    <font>
      <b/>
      <sz val="9"/>
      <color theme="1"/>
      <name val="Arial"/>
      <family val="2"/>
      <scheme val="minor"/>
    </font>
    <font>
      <sz val="11"/>
      <color theme="3"/>
      <name val="Arial"/>
      <family val="2"/>
      <scheme val="minor"/>
    </font>
    <font>
      <b/>
      <sz val="11"/>
      <color theme="0"/>
      <name val="Calibri Light"/>
      <family val="2"/>
    </font>
    <font>
      <b/>
      <sz val="11"/>
      <name val="Arial"/>
      <family val="2"/>
      <scheme val="minor"/>
    </font>
    <font>
      <b/>
      <sz val="10"/>
      <color theme="0"/>
      <name val="Century Gothic"/>
      <family val="2"/>
    </font>
    <font>
      <b/>
      <i/>
      <sz val="8"/>
      <color theme="1"/>
      <name val="Arial"/>
      <family val="2"/>
      <scheme val="minor"/>
    </font>
    <font>
      <b/>
      <i/>
      <sz val="9"/>
      <color theme="1"/>
      <name val="Arial"/>
      <family val="2"/>
      <scheme val="minor"/>
    </font>
    <font>
      <i/>
      <sz val="11"/>
      <name val="Arial"/>
      <family val="2"/>
      <scheme val="minor"/>
    </font>
    <font>
      <sz val="11"/>
      <color rgb="FF00B050"/>
      <name val="Arial"/>
      <family val="2"/>
      <scheme val="minor"/>
    </font>
    <font>
      <b/>
      <sz val="10"/>
      <color rgb="FFFFC000"/>
      <name val="Arial"/>
      <family val="2"/>
      <scheme val="minor"/>
    </font>
    <font>
      <b/>
      <sz val="10"/>
      <color rgb="FF00B050"/>
      <name val="Arial"/>
      <family val="2"/>
      <scheme val="minor"/>
    </font>
    <font>
      <b/>
      <sz val="10"/>
      <color rgb="FF00B0F0"/>
      <name val="Arial"/>
      <family val="2"/>
      <scheme val="minor"/>
    </font>
    <font>
      <i/>
      <sz val="9"/>
      <color theme="1"/>
      <name val="Arial"/>
      <family val="2"/>
      <scheme val="minor"/>
    </font>
    <font>
      <sz val="11"/>
      <color theme="1"/>
      <name val="Arial"/>
      <family val="2"/>
    </font>
    <font>
      <sz val="11"/>
      <color theme="1"/>
      <name val="Calibri"/>
      <family val="2"/>
    </font>
    <font>
      <b/>
      <i/>
      <sz val="10"/>
      <color theme="1"/>
      <name val="Arial"/>
      <family val="2"/>
      <scheme val="minor"/>
    </font>
  </fonts>
  <fills count="7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5" tint="-0.499984740745262"/>
        <bgColor indexed="64"/>
      </patternFill>
    </fill>
    <fill>
      <patternFill patternType="solid">
        <fgColor theme="6"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249977111117893"/>
        <bgColor indexed="64"/>
      </patternFill>
    </fill>
    <fill>
      <patternFill patternType="solid">
        <fgColor theme="3" tint="-0.249977111117893"/>
        <bgColor indexed="64"/>
      </patternFill>
    </fill>
    <fill>
      <patternFill patternType="solid">
        <fgColor rgb="FFE6EBEE"/>
        <bgColor indexed="64"/>
      </patternFill>
    </fill>
    <fill>
      <patternFill patternType="solid">
        <fgColor rgb="FF708692"/>
        <bgColor indexed="64"/>
      </patternFill>
    </fill>
    <fill>
      <patternFill patternType="solid">
        <fgColor rgb="FFDAE2E5"/>
        <bgColor indexed="64"/>
      </patternFill>
    </fill>
    <fill>
      <patternFill patternType="solid">
        <fgColor theme="9"/>
        <bgColor indexed="64"/>
      </patternFill>
    </fill>
    <fill>
      <patternFill patternType="solid">
        <fgColor theme="9" tint="0.79998168889431442"/>
        <bgColor indexed="64"/>
      </patternFill>
    </fill>
    <fill>
      <patternFill patternType="solid">
        <fgColor theme="8"/>
        <bgColor indexed="64"/>
      </patternFill>
    </fill>
    <fill>
      <patternFill patternType="solid">
        <fgColor theme="8" tint="0.79998168889431442"/>
        <bgColor indexed="64"/>
      </patternFill>
    </fill>
    <fill>
      <patternFill patternType="solid">
        <fgColor rgb="FFF0F3F4"/>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7"/>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8" tint="0.39997558519241921"/>
        <bgColor indexed="64"/>
      </patternFill>
    </fill>
    <fill>
      <patternFill patternType="solid">
        <fgColor theme="9" tint="-0.499984740745262"/>
        <bgColor indexed="64"/>
      </patternFill>
    </fill>
    <fill>
      <patternFill patternType="solid">
        <fgColor theme="4"/>
        <bgColor indexed="64"/>
      </patternFill>
    </fill>
    <fill>
      <patternFill patternType="solid">
        <fgColor theme="6"/>
        <bgColor indexed="64"/>
      </patternFill>
    </fill>
    <fill>
      <patternFill patternType="solid">
        <fgColor theme="6" tint="0.79998168889431442"/>
        <bgColor indexed="64"/>
      </patternFill>
    </fill>
    <fill>
      <patternFill patternType="solid">
        <fgColor theme="5" tint="-0.249977111117893"/>
        <bgColor indexed="64"/>
      </patternFill>
    </fill>
    <fill>
      <patternFill patternType="solid">
        <fgColor theme="5"/>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1"/>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FFFFCC"/>
        <bgColor indexed="64"/>
      </patternFill>
    </fill>
    <fill>
      <patternFill patternType="solid">
        <fgColor theme="8" tint="-0.499984740745262"/>
        <bgColor indexed="64"/>
      </patternFill>
    </fill>
    <fill>
      <patternFill patternType="solid">
        <fgColor theme="0" tint="-0.249977111117893"/>
        <bgColor indexed="64"/>
      </patternFill>
    </fill>
  </fills>
  <borders count="153">
    <border>
      <left/>
      <right/>
      <top/>
      <bottom/>
      <diagonal/>
    </border>
    <border>
      <left/>
      <right/>
      <top/>
      <bottom style="thin">
        <color theme="0" tint="-0.34998626667073579"/>
      </bottom>
      <diagonal/>
    </border>
    <border>
      <left/>
      <right/>
      <top style="thin">
        <color theme="0"/>
      </top>
      <bottom/>
      <diagonal/>
    </border>
    <border>
      <left/>
      <right style="thick">
        <color theme="0"/>
      </right>
      <top/>
      <bottom/>
      <diagonal/>
    </border>
    <border>
      <left/>
      <right style="thick">
        <color theme="0"/>
      </right>
      <top style="thin">
        <color theme="0"/>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708692"/>
      </left>
      <right/>
      <top/>
      <bottom/>
      <diagonal/>
    </border>
    <border>
      <left style="thin">
        <color theme="8" tint="0.79998168889431442"/>
      </left>
      <right style="thin">
        <color theme="8" tint="0.79998168889431442"/>
      </right>
      <top style="thin">
        <color theme="8" tint="0.79998168889431442"/>
      </top>
      <bottom style="thin">
        <color theme="8" tint="0.79998168889431442"/>
      </bottom>
      <diagonal/>
    </border>
    <border>
      <left style="thin">
        <color rgb="FFDAE2E5"/>
      </left>
      <right style="thin">
        <color rgb="FFDAE2E5"/>
      </right>
      <top style="thin">
        <color rgb="FFDAE2E5"/>
      </top>
      <bottom style="thin">
        <color rgb="FFDAE2E5"/>
      </bottom>
      <diagonal/>
    </border>
    <border>
      <left style="thin">
        <color rgb="FFDAE2E5"/>
      </left>
      <right style="thin">
        <color rgb="FFDAE2E5"/>
      </right>
      <top style="thin">
        <color rgb="FFDAE2E5"/>
      </top>
      <bottom/>
      <diagonal/>
    </border>
    <border>
      <left style="thin">
        <color rgb="FFDAE2E5"/>
      </left>
      <right style="thin">
        <color rgb="FFDAE2E5"/>
      </right>
      <top/>
      <bottom/>
      <diagonal/>
    </border>
    <border>
      <left style="thin">
        <color rgb="FFDAE2E5"/>
      </left>
      <right style="thin">
        <color rgb="FFDAE2E5"/>
      </right>
      <top/>
      <bottom style="thin">
        <color rgb="FFDAE2E5"/>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theme="8" tint="0.79998168889431442"/>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DAE2E5"/>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theme="9" tint="0.79998168889431442"/>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right style="thin">
        <color theme="9" tint="0.79998168889431442"/>
      </right>
      <top style="thin">
        <color theme="9" tint="0.79998168889431442"/>
      </top>
      <bottom style="thin">
        <color theme="9" tint="0.79998168889431442"/>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right/>
      <top style="thin">
        <color indexed="64"/>
      </top>
      <bottom/>
      <diagonal/>
    </border>
    <border>
      <left/>
      <right/>
      <top style="thin">
        <color indexed="64"/>
      </top>
      <bottom style="thin">
        <color indexed="64"/>
      </bottom>
      <diagonal/>
    </border>
    <border>
      <left style="thick">
        <color theme="0"/>
      </left>
      <right style="thick">
        <color theme="0"/>
      </right>
      <top style="thick">
        <color theme="0"/>
      </top>
      <bottom style="thick">
        <color theme="0"/>
      </bottom>
      <diagonal/>
    </border>
    <border>
      <left style="thin">
        <color indexed="64"/>
      </left>
      <right/>
      <top/>
      <bottom/>
      <diagonal/>
    </border>
    <border>
      <left/>
      <right style="thin">
        <color indexed="64"/>
      </right>
      <top style="thin">
        <color indexed="64"/>
      </top>
      <bottom/>
      <diagonal/>
    </border>
    <border>
      <left style="thin">
        <color theme="6" tint="0.79998168889431442"/>
      </left>
      <right style="thin">
        <color theme="6" tint="0.79998168889431442"/>
      </right>
      <top style="thin">
        <color theme="6" tint="0.79998168889431442"/>
      </top>
      <bottom style="thin">
        <color theme="6" tint="0.79998168889431442"/>
      </bottom>
      <diagonal/>
    </border>
    <border>
      <left/>
      <right/>
      <top style="thick">
        <color theme="0"/>
      </top>
      <bottom style="thick">
        <color theme="0"/>
      </bottom>
      <diagonal/>
    </border>
    <border>
      <left style="thin">
        <color rgb="FFDAE2E5"/>
      </left>
      <right/>
      <top/>
      <bottom/>
      <diagonal/>
    </border>
    <border>
      <left style="thin">
        <color theme="5" tint="0.79998168889431442"/>
      </left>
      <right style="thin">
        <color theme="5" tint="0.79998168889431442"/>
      </right>
      <top style="thin">
        <color theme="5" tint="0.79998168889431442"/>
      </top>
      <bottom style="thin">
        <color theme="5" tint="0.79998168889431442"/>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top style="thin">
        <color theme="5" tint="-0.249977111117893"/>
      </top>
      <bottom style="thin">
        <color theme="5" tint="-0.249977111117893"/>
      </bottom>
      <diagonal/>
    </border>
    <border>
      <left/>
      <right/>
      <top style="thin">
        <color theme="5" tint="-0.249977111117893"/>
      </top>
      <bottom style="thin">
        <color theme="5" tint="-0.249977111117893"/>
      </bottom>
      <diagonal/>
    </border>
    <border>
      <left/>
      <right style="thin">
        <color theme="5" tint="-0.249977111117893"/>
      </right>
      <top style="thin">
        <color theme="5" tint="-0.249977111117893"/>
      </top>
      <bottom style="thin">
        <color theme="5" tint="-0.249977111117893"/>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right style="thin">
        <color theme="5" tint="0.79998168889431442"/>
      </right>
      <top/>
      <bottom/>
      <diagonal/>
    </border>
    <border>
      <left style="thin">
        <color theme="5" tint="-0.249977111117893"/>
      </left>
      <right/>
      <top/>
      <bottom style="thin">
        <color theme="5" tint="-0.249977111117893"/>
      </bottom>
      <diagonal/>
    </border>
    <border>
      <left/>
      <right style="thin">
        <color theme="4" tint="0.79998168889431442"/>
      </right>
      <top/>
      <bottom/>
      <diagonal/>
    </border>
    <border>
      <left/>
      <right style="thin">
        <color indexed="64"/>
      </right>
      <top/>
      <bottom/>
      <diagonal/>
    </border>
    <border>
      <left style="thin">
        <color indexed="64"/>
      </left>
      <right style="thin">
        <color rgb="FFDAE2E5"/>
      </right>
      <top style="thin">
        <color indexed="64"/>
      </top>
      <bottom style="thin">
        <color rgb="FFDAE2E5"/>
      </bottom>
      <diagonal/>
    </border>
    <border>
      <left style="thin">
        <color indexed="64"/>
      </left>
      <right style="thin">
        <color rgb="FFDAE2E5"/>
      </right>
      <top style="thin">
        <color indexed="64"/>
      </top>
      <bottom/>
      <diagonal/>
    </border>
    <border>
      <left style="thin">
        <color indexed="64"/>
      </left>
      <right style="thin">
        <color rgb="FFDAE2E5"/>
      </right>
      <top/>
      <bottom style="thin">
        <color indexed="64"/>
      </bottom>
      <diagonal/>
    </border>
    <border>
      <left style="thin">
        <color rgb="FFDAE2E5"/>
      </left>
      <right style="thin">
        <color rgb="FFDAE2E5"/>
      </right>
      <top style="thin">
        <color rgb="FFDAE2E5"/>
      </top>
      <bottom style="thin">
        <color indexed="64"/>
      </bottom>
      <diagonal/>
    </border>
    <border>
      <left style="thin">
        <color rgb="FFDAE2E5"/>
      </left>
      <right style="thin">
        <color rgb="FFDAE2E5"/>
      </right>
      <top style="thin">
        <color indexed="64"/>
      </top>
      <bottom style="thin">
        <color rgb="FFDAE2E5"/>
      </bottom>
      <diagonal/>
    </border>
    <border>
      <left style="thin">
        <color indexed="64"/>
      </left>
      <right style="thin">
        <color rgb="FFDAE2E5"/>
      </right>
      <top style="thin">
        <color rgb="FFDAE2E5"/>
      </top>
      <bottom/>
      <diagonal/>
    </border>
    <border>
      <left style="thin">
        <color indexed="64"/>
      </left>
      <right style="thin">
        <color rgb="FFDAE2E5"/>
      </right>
      <top/>
      <bottom/>
      <diagonal/>
    </border>
    <border>
      <left style="thin">
        <color indexed="64"/>
      </left>
      <right style="thin">
        <color rgb="FFDAE2E5"/>
      </right>
      <top/>
      <bottom style="thin">
        <color rgb="FFDAE2E5"/>
      </bottom>
      <diagonal/>
    </border>
    <border>
      <left style="thin">
        <color indexed="64"/>
      </left>
      <right style="thin">
        <color indexed="64"/>
      </right>
      <top/>
      <bottom/>
      <diagonal/>
    </border>
    <border>
      <left/>
      <right style="thin">
        <color indexed="64"/>
      </right>
      <top style="thin">
        <color theme="8"/>
      </top>
      <bottom/>
      <diagonal/>
    </border>
    <border>
      <left style="thin">
        <color theme="7" tint="0.79998168889431442"/>
      </left>
      <right/>
      <top style="thin">
        <color theme="7" tint="0.79998168889431442"/>
      </top>
      <bottom style="thin">
        <color theme="7" tint="0.79998168889431442"/>
      </bottom>
      <diagonal/>
    </border>
    <border>
      <left/>
      <right/>
      <top style="thin">
        <color theme="7" tint="0.79998168889431442"/>
      </top>
      <bottom style="thin">
        <color theme="7" tint="0.79998168889431442"/>
      </bottom>
      <diagonal/>
    </border>
    <border>
      <left/>
      <right style="thin">
        <color theme="7" tint="0.79998168889431442"/>
      </right>
      <top style="thin">
        <color theme="7" tint="0.79998168889431442"/>
      </top>
      <bottom style="thin">
        <color theme="7" tint="0.79998168889431442"/>
      </bottom>
      <diagonal/>
    </border>
    <border>
      <left/>
      <right style="thin">
        <color theme="7" tint="0.79998168889431442"/>
      </right>
      <top/>
      <bottom/>
      <diagonal/>
    </border>
    <border>
      <left style="thin">
        <color theme="7" tint="-0.249977111117893"/>
      </left>
      <right/>
      <top/>
      <bottom/>
      <diagonal/>
    </border>
    <border>
      <left style="thin">
        <color theme="4" tint="-0.249977111117893"/>
      </left>
      <right/>
      <top/>
      <bottom/>
      <diagonal/>
    </border>
    <border>
      <left style="thin">
        <color theme="4" tint="0.79998168889431442"/>
      </left>
      <right/>
      <top style="thin">
        <color theme="4" tint="0.79998168889431442"/>
      </top>
      <bottom style="thin">
        <color theme="4" tint="0.79998168889431442"/>
      </bottom>
      <diagonal/>
    </border>
    <border>
      <left/>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top style="thin">
        <color rgb="FFDAE2E5"/>
      </top>
      <bottom/>
      <diagonal/>
    </border>
    <border>
      <left/>
      <right/>
      <top/>
      <bottom style="thin">
        <color rgb="FFDAE2E5"/>
      </bottom>
      <diagonal/>
    </border>
    <border>
      <left style="thin">
        <color theme="7" tint="0.79998168889431442"/>
      </left>
      <right/>
      <top style="thin">
        <color theme="7" tint="0.79998168889431442"/>
      </top>
      <bottom/>
      <diagonal/>
    </border>
    <border>
      <left/>
      <right/>
      <top style="thin">
        <color theme="7" tint="0.79998168889431442"/>
      </top>
      <bottom/>
      <diagonal/>
    </border>
    <border>
      <left/>
      <right/>
      <top style="thin">
        <color theme="8" tint="0.79998168889431442"/>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thin">
        <color rgb="FFDAE2E5"/>
      </left>
      <right/>
      <top style="thin">
        <color rgb="FFDAE2E5"/>
      </top>
      <bottom style="thin">
        <color rgb="FFDAE2E5"/>
      </bottom>
      <diagonal/>
    </border>
    <border>
      <left/>
      <right style="thin">
        <color rgb="FFDAE2E5"/>
      </right>
      <top style="thin">
        <color rgb="FFDAE2E5"/>
      </top>
      <bottom style="thin">
        <color rgb="FFDAE2E5"/>
      </bottom>
      <diagonal/>
    </border>
    <border>
      <left style="medium">
        <color theme="8" tint="-0.499984740745262"/>
      </left>
      <right/>
      <top style="medium">
        <color theme="8" tint="-0.499984740745262"/>
      </top>
      <bottom/>
      <diagonal/>
    </border>
    <border>
      <left/>
      <right/>
      <top style="medium">
        <color theme="8" tint="-0.499984740745262"/>
      </top>
      <bottom/>
      <diagonal/>
    </border>
    <border>
      <left/>
      <right style="medium">
        <color theme="8" tint="-0.499984740745262"/>
      </right>
      <top style="medium">
        <color theme="8" tint="-0.499984740745262"/>
      </top>
      <bottom/>
      <diagonal/>
    </border>
    <border>
      <left style="medium">
        <color theme="8" tint="-0.499984740745262"/>
      </left>
      <right/>
      <top/>
      <bottom/>
      <diagonal/>
    </border>
    <border>
      <left/>
      <right style="medium">
        <color theme="8" tint="-0.499984740745262"/>
      </right>
      <top/>
      <bottom/>
      <diagonal/>
    </border>
    <border>
      <left style="medium">
        <color theme="8" tint="-0.499984740745262"/>
      </left>
      <right/>
      <top/>
      <bottom style="medium">
        <color theme="8" tint="-0.499984740745262"/>
      </bottom>
      <diagonal/>
    </border>
    <border>
      <left/>
      <right/>
      <top/>
      <bottom style="medium">
        <color theme="8" tint="-0.499984740745262"/>
      </bottom>
      <diagonal/>
    </border>
    <border>
      <left/>
      <right style="medium">
        <color theme="8" tint="-0.499984740745262"/>
      </right>
      <top/>
      <bottom style="medium">
        <color theme="8" tint="-0.499984740745262"/>
      </bottom>
      <diagonal/>
    </border>
    <border>
      <left/>
      <right/>
      <top/>
      <bottom style="double">
        <color theme="8" tint="-0.499984740745262"/>
      </bottom>
      <diagonal/>
    </border>
    <border>
      <left/>
      <right style="thin">
        <color theme="9" tint="0.79998168889431442"/>
      </right>
      <top/>
      <bottom/>
      <diagonal/>
    </border>
    <border>
      <left style="thin">
        <color theme="0"/>
      </left>
      <right style="thin">
        <color theme="0"/>
      </right>
      <top style="thin">
        <color theme="0"/>
      </top>
      <bottom style="thin">
        <color theme="0"/>
      </bottom>
      <diagonal/>
    </border>
    <border>
      <left style="thin">
        <color theme="2" tint="-9.9978637043366805E-2"/>
      </left>
      <right/>
      <top style="thin">
        <color theme="2" tint="-9.9978637043366805E-2"/>
      </top>
      <bottom style="thin">
        <color theme="2" tint="-9.9978637043366805E-2"/>
      </bottom>
      <diagonal/>
    </border>
    <border>
      <left style="medium">
        <color theme="2" tint="-0.749992370372631"/>
      </left>
      <right/>
      <top style="medium">
        <color theme="2" tint="-0.749992370372631"/>
      </top>
      <bottom/>
      <diagonal/>
    </border>
    <border>
      <left/>
      <right/>
      <top style="medium">
        <color theme="2" tint="-0.749992370372631"/>
      </top>
      <bottom/>
      <diagonal/>
    </border>
    <border>
      <left/>
      <right style="medium">
        <color theme="2" tint="-0.749992370372631"/>
      </right>
      <top style="medium">
        <color theme="2" tint="-0.749992370372631"/>
      </top>
      <bottom/>
      <diagonal/>
    </border>
    <border>
      <left style="medium">
        <color theme="2" tint="-0.749992370372631"/>
      </left>
      <right/>
      <top/>
      <bottom/>
      <diagonal/>
    </border>
    <border>
      <left/>
      <right style="medium">
        <color theme="2" tint="-0.749992370372631"/>
      </right>
      <top/>
      <bottom/>
      <diagonal/>
    </border>
    <border>
      <left style="medium">
        <color theme="2" tint="-0.749992370372631"/>
      </left>
      <right/>
      <top/>
      <bottom style="medium">
        <color theme="2" tint="-0.749992370372631"/>
      </bottom>
      <diagonal/>
    </border>
    <border>
      <left/>
      <right/>
      <top/>
      <bottom style="medium">
        <color theme="2" tint="-0.749992370372631"/>
      </bottom>
      <diagonal/>
    </border>
    <border>
      <left/>
      <right style="medium">
        <color theme="2" tint="-0.749992370372631"/>
      </right>
      <top/>
      <bottom style="medium">
        <color theme="2" tint="-0.749992370372631"/>
      </bottom>
      <diagonal/>
    </border>
    <border>
      <left/>
      <right style="thin">
        <color theme="5" tint="-0.249977111117893"/>
      </right>
      <top/>
      <bottom/>
      <diagonal/>
    </border>
    <border>
      <left style="thin">
        <color theme="5" tint="-0.249977111117893"/>
      </left>
      <right/>
      <top/>
      <bottom/>
      <diagonal/>
    </border>
    <border>
      <left style="thin">
        <color theme="5" tint="0.79998168889431442"/>
      </left>
      <right/>
      <top/>
      <bottom/>
      <diagonal/>
    </border>
    <border>
      <left/>
      <right/>
      <top/>
      <bottom style="thin">
        <color theme="5" tint="-0.249977111117893"/>
      </bottom>
      <diagonal/>
    </border>
    <border>
      <left/>
      <right style="thin">
        <color theme="5" tint="-0.249977111117893"/>
      </right>
      <top/>
      <bottom style="thin">
        <color theme="5" tint="-0.249977111117893"/>
      </bottom>
      <diagonal/>
    </border>
    <border>
      <left style="thin">
        <color theme="5" tint="-0.249977111117893"/>
      </left>
      <right/>
      <top style="thin">
        <color theme="5" tint="-0.249977111117893"/>
      </top>
      <bottom/>
      <diagonal/>
    </border>
    <border>
      <left/>
      <right/>
      <top style="thin">
        <color theme="5" tint="-0.249977111117893"/>
      </top>
      <bottom/>
      <diagonal/>
    </border>
    <border>
      <left/>
      <right style="thin">
        <color theme="5" tint="-0.249977111117893"/>
      </right>
      <top style="thin">
        <color theme="5" tint="-0.249977111117893"/>
      </top>
      <bottom/>
      <diagonal/>
    </border>
    <border>
      <left style="medium">
        <color theme="9" tint="-0.499984740745262"/>
      </left>
      <right/>
      <top style="medium">
        <color theme="9" tint="-0.499984740745262"/>
      </top>
      <bottom/>
      <diagonal/>
    </border>
    <border>
      <left/>
      <right/>
      <top style="medium">
        <color theme="9" tint="-0.499984740745262"/>
      </top>
      <bottom/>
      <diagonal/>
    </border>
    <border>
      <left/>
      <right style="medium">
        <color theme="9" tint="-0.499984740745262"/>
      </right>
      <top style="medium">
        <color theme="9" tint="-0.499984740745262"/>
      </top>
      <bottom/>
      <diagonal/>
    </border>
    <border>
      <left style="medium">
        <color theme="9" tint="-0.499984740745262"/>
      </left>
      <right/>
      <top/>
      <bottom/>
      <diagonal/>
    </border>
    <border>
      <left/>
      <right style="medium">
        <color theme="9" tint="-0.499984740745262"/>
      </right>
      <top/>
      <bottom/>
      <diagonal/>
    </border>
    <border>
      <left style="medium">
        <color theme="9" tint="-0.499984740745262"/>
      </left>
      <right/>
      <top/>
      <bottom style="medium">
        <color theme="9" tint="-0.499984740745262"/>
      </bottom>
      <diagonal/>
    </border>
    <border>
      <left/>
      <right/>
      <top/>
      <bottom style="medium">
        <color theme="9" tint="-0.499984740745262"/>
      </bottom>
      <diagonal/>
    </border>
    <border>
      <left/>
      <right style="medium">
        <color theme="9" tint="-0.499984740745262"/>
      </right>
      <top/>
      <bottom style="medium">
        <color theme="9" tint="-0.499984740745262"/>
      </bottom>
      <diagonal/>
    </border>
    <border>
      <left style="medium">
        <color theme="7" tint="-0.499984740745262"/>
      </left>
      <right/>
      <top style="medium">
        <color theme="7" tint="-0.499984740745262"/>
      </top>
      <bottom/>
      <diagonal/>
    </border>
    <border>
      <left/>
      <right/>
      <top style="medium">
        <color theme="7" tint="-0.499984740745262"/>
      </top>
      <bottom/>
      <diagonal/>
    </border>
    <border>
      <left/>
      <right style="medium">
        <color theme="7" tint="-0.499984740745262"/>
      </right>
      <top style="medium">
        <color theme="7" tint="-0.499984740745262"/>
      </top>
      <bottom/>
      <diagonal/>
    </border>
    <border>
      <left style="medium">
        <color theme="7" tint="-0.499984740745262"/>
      </left>
      <right/>
      <top/>
      <bottom/>
      <diagonal/>
    </border>
    <border>
      <left/>
      <right style="medium">
        <color theme="7" tint="-0.499984740745262"/>
      </right>
      <top/>
      <bottom/>
      <diagonal/>
    </border>
    <border>
      <left style="medium">
        <color theme="7" tint="-0.499984740745262"/>
      </left>
      <right/>
      <top/>
      <bottom style="medium">
        <color theme="7" tint="-0.499984740745262"/>
      </bottom>
      <diagonal/>
    </border>
    <border>
      <left/>
      <right/>
      <top/>
      <bottom style="medium">
        <color theme="7" tint="-0.499984740745262"/>
      </bottom>
      <diagonal/>
    </border>
    <border>
      <left/>
      <right style="medium">
        <color theme="7" tint="-0.499984740745262"/>
      </right>
      <top/>
      <bottom style="medium">
        <color theme="7" tint="-0.499984740745262"/>
      </bottom>
      <diagonal/>
    </border>
    <border>
      <left style="thin">
        <color rgb="FFDAE2E5"/>
      </left>
      <right/>
      <top style="thin">
        <color rgb="FFDAE2E5"/>
      </top>
      <bottom/>
      <diagonal/>
    </border>
    <border>
      <left/>
      <right style="thin">
        <color rgb="FFDAE2E5"/>
      </right>
      <top style="thin">
        <color rgb="FFDAE2E5"/>
      </top>
      <bottom/>
      <diagonal/>
    </border>
    <border>
      <left style="thin">
        <color rgb="FFDAE2E5"/>
      </left>
      <right/>
      <top/>
      <bottom style="thin">
        <color rgb="FFDAE2E5"/>
      </bottom>
      <diagonal/>
    </border>
    <border>
      <left/>
      <right style="thin">
        <color rgb="FFDAE2E5"/>
      </right>
      <top/>
      <bottom style="thin">
        <color rgb="FFDAE2E5"/>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indexed="64"/>
      </top>
      <bottom/>
      <diagonal/>
    </border>
    <border>
      <left style="thin">
        <color theme="1"/>
      </left>
      <right style="thin">
        <color rgb="FFDAE2E5"/>
      </right>
      <top style="thin">
        <color theme="1"/>
      </top>
      <bottom style="thin">
        <color rgb="FFDAE2E5"/>
      </bottom>
      <diagonal/>
    </border>
    <border>
      <left/>
      <right style="thin">
        <color theme="1"/>
      </right>
      <top style="thin">
        <color indexed="64"/>
      </top>
      <bottom/>
      <diagonal/>
    </border>
    <border>
      <left/>
      <right style="thin">
        <color theme="0"/>
      </right>
      <top style="thin">
        <color theme="0"/>
      </top>
      <bottom style="thin">
        <color theme="0"/>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s>
  <cellStyleXfs count="61">
    <xf numFmtId="0" fontId="0" fillId="0" borderId="0">
      <alignment vertical="center"/>
    </xf>
    <xf numFmtId="0" fontId="9" fillId="0" borderId="0" applyNumberFormat="0" applyFill="0" applyBorder="0" applyAlignment="0" applyProtection="0"/>
    <xf numFmtId="0" fontId="3" fillId="0" borderId="0" applyNumberFormat="0" applyFill="0" applyProtection="0">
      <alignment vertical="center"/>
    </xf>
    <xf numFmtId="0" fontId="4" fillId="5" borderId="0" applyNumberFormat="0" applyProtection="0">
      <alignment horizontal="left" vertical="center" indent="1"/>
    </xf>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14" fontId="5" fillId="3" borderId="4">
      <alignment horizontal="center"/>
    </xf>
    <xf numFmtId="0" fontId="5" fillId="4" borderId="4" applyNumberFormat="0">
      <alignment horizontal="center"/>
    </xf>
    <xf numFmtId="1" fontId="5" fillId="5" borderId="4">
      <alignment horizontal="center"/>
    </xf>
    <xf numFmtId="0" fontId="7" fillId="5" borderId="0" applyNumberFormat="0" applyBorder="0" applyProtection="0">
      <alignment vertical="center"/>
    </xf>
    <xf numFmtId="0" fontId="1" fillId="0" borderId="1" applyNumberFormat="0" applyFill="0" applyProtection="0">
      <alignment horizontal="center" vertical="center"/>
    </xf>
    <xf numFmtId="0" fontId="1" fillId="0" borderId="1" applyNumberFormat="0" applyFill="0" applyProtection="0">
      <alignment horizontal="center" vertical="center"/>
    </xf>
    <xf numFmtId="14" fontId="6" fillId="0" borderId="3" applyNumberFormat="0" applyFont="0" applyFill="0" applyAlignment="0">
      <alignment horizontal="center"/>
    </xf>
    <xf numFmtId="14" fontId="8" fillId="0" borderId="2" applyFont="0" applyFill="0" applyBorder="0" applyAlignment="0">
      <alignment horizontal="center"/>
    </xf>
    <xf numFmtId="2" fontId="8" fillId="0" borderId="0" applyFont="0" applyFill="0" applyBorder="0" applyAlignment="0">
      <alignment vertical="center"/>
    </xf>
    <xf numFmtId="1" fontId="8" fillId="5" borderId="2" applyFont="0" applyFill="0" applyBorder="0" applyAlignment="0">
      <alignment horizontal="center"/>
    </xf>
    <xf numFmtId="166" fontId="8" fillId="0" borderId="0" applyFont="0" applyFill="0" applyBorder="0" applyAlignment="0">
      <alignment horizontal="left" vertical="center"/>
    </xf>
    <xf numFmtId="0" fontId="2" fillId="0" borderId="1" applyNumberFormat="0" applyFill="0" applyProtection="0"/>
    <xf numFmtId="43"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13" fillId="9" borderId="5" applyNumberFormat="0" applyAlignment="0" applyProtection="0"/>
    <xf numFmtId="0" fontId="14" fillId="10" borderId="6" applyNumberFormat="0" applyAlignment="0" applyProtection="0"/>
    <xf numFmtId="0" fontId="15" fillId="10" borderId="5" applyNumberFormat="0" applyAlignment="0" applyProtection="0"/>
    <xf numFmtId="0" fontId="16" fillId="0" borderId="7" applyNumberFormat="0" applyFill="0" applyAlignment="0" applyProtection="0"/>
    <xf numFmtId="0" fontId="17" fillId="11" borderId="8" applyNumberFormat="0" applyAlignment="0" applyProtection="0"/>
    <xf numFmtId="0" fontId="18" fillId="0" borderId="0" applyNumberFormat="0" applyFill="0" applyBorder="0" applyAlignment="0" applyProtection="0"/>
    <xf numFmtId="0" fontId="8" fillId="12" borderId="9" applyNumberFormat="0" applyFont="0" applyAlignment="0" applyProtection="0"/>
    <xf numFmtId="0" fontId="19" fillId="0" borderId="0" applyNumberFormat="0" applyFill="0" applyBorder="0" applyAlignment="0" applyProtection="0"/>
    <xf numFmtId="0" fontId="20" fillId="0" borderId="10" applyNumberFormat="0" applyFill="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1"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1"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1"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0" borderId="0"/>
    <xf numFmtId="0" fontId="31" fillId="0" borderId="0" applyNumberFormat="0" applyFill="0" applyBorder="0" applyAlignment="0" applyProtection="0"/>
    <xf numFmtId="0" fontId="31" fillId="0" borderId="0" applyNumberFormat="0" applyFill="0" applyBorder="0" applyAlignment="0" applyProtection="0">
      <alignment vertical="center"/>
    </xf>
    <xf numFmtId="0" fontId="49" fillId="0" borderId="0" applyNumberFormat="0" applyFont="0" applyFill="0" applyBorder="0" applyAlignment="0" applyProtection="0">
      <alignment vertical="top"/>
    </xf>
  </cellStyleXfs>
  <cellXfs count="889">
    <xf numFmtId="0" fontId="0" fillId="0" borderId="0" xfId="0">
      <alignment vertical="center"/>
    </xf>
    <xf numFmtId="0" fontId="0" fillId="0" borderId="0" xfId="0" applyAlignment="1">
      <alignment horizontal="center" vertical="center"/>
    </xf>
    <xf numFmtId="0" fontId="0" fillId="36" borderId="0" xfId="0" applyFill="1">
      <alignment vertical="center"/>
    </xf>
    <xf numFmtId="0" fontId="0" fillId="37" borderId="0" xfId="0" applyFill="1">
      <alignment vertical="center"/>
    </xf>
    <xf numFmtId="0" fontId="0" fillId="38" borderId="0" xfId="0" applyFill="1">
      <alignment vertical="center"/>
    </xf>
    <xf numFmtId="0" fontId="1" fillId="2" borderId="0" xfId="0" applyFont="1" applyFill="1">
      <alignment vertical="center"/>
    </xf>
    <xf numFmtId="0" fontId="1" fillId="2" borderId="11" xfId="0" applyFont="1" applyFill="1" applyBorder="1">
      <alignment vertical="center"/>
    </xf>
    <xf numFmtId="0" fontId="0" fillId="0" borderId="0" xfId="0" applyAlignment="1">
      <alignment horizontal="left" vertical="center"/>
    </xf>
    <xf numFmtId="0" fontId="26" fillId="0" borderId="0" xfId="0" applyFont="1" applyAlignment="1">
      <alignment horizontal="center" vertical="center"/>
    </xf>
    <xf numFmtId="0" fontId="25" fillId="0" borderId="13" xfId="0" applyFont="1" applyBorder="1">
      <alignment vertical="center"/>
    </xf>
    <xf numFmtId="0" fontId="26" fillId="0" borderId="13" xfId="0" applyFont="1" applyBorder="1" applyAlignment="1">
      <alignment horizontal="center" vertical="center"/>
    </xf>
    <xf numFmtId="0" fontId="20" fillId="0" borderId="0" xfId="0" applyFont="1" applyAlignment="1">
      <alignment horizontal="left" vertical="center"/>
    </xf>
    <xf numFmtId="43" fontId="0" fillId="0" borderId="0" xfId="0" applyNumberFormat="1" applyAlignment="1">
      <alignment horizontal="center" vertical="center"/>
    </xf>
    <xf numFmtId="0" fontId="20" fillId="38" borderId="0" xfId="0" applyFont="1" applyFill="1" applyAlignment="1">
      <alignment horizontal="center" vertical="center"/>
    </xf>
    <xf numFmtId="43" fontId="0" fillId="0" borderId="18" xfId="19" applyFont="1" applyBorder="1" applyAlignment="1">
      <alignment horizontal="center" vertical="center"/>
    </xf>
    <xf numFmtId="0" fontId="25" fillId="0" borderId="14" xfId="0" applyFont="1" applyBorder="1">
      <alignment vertical="center"/>
    </xf>
    <xf numFmtId="43" fontId="0" fillId="0" borderId="19" xfId="19" applyFont="1" applyBorder="1" applyAlignment="1">
      <alignment horizontal="center" vertical="center"/>
    </xf>
    <xf numFmtId="0" fontId="28" fillId="38" borderId="0" xfId="0" applyFont="1" applyFill="1">
      <alignment vertical="center"/>
    </xf>
    <xf numFmtId="0" fontId="0" fillId="2" borderId="0" xfId="0" applyFill="1">
      <alignment vertical="center"/>
    </xf>
    <xf numFmtId="43" fontId="28" fillId="43" borderId="13" xfId="19" applyFont="1" applyFill="1" applyBorder="1" applyAlignment="1">
      <alignment vertical="center"/>
    </xf>
    <xf numFmtId="0" fontId="20" fillId="46" borderId="0" xfId="0" applyFont="1" applyFill="1">
      <alignment vertical="center"/>
    </xf>
    <xf numFmtId="0" fontId="0" fillId="47" borderId="0" xfId="0" applyFill="1" applyAlignment="1">
      <alignment horizontal="center" vertical="center"/>
    </xf>
    <xf numFmtId="0" fontId="29" fillId="47" borderId="0" xfId="0" applyFont="1" applyFill="1">
      <alignment vertical="center"/>
    </xf>
    <xf numFmtId="0" fontId="20" fillId="47" borderId="25" xfId="0" applyFont="1" applyFill="1" applyBorder="1" applyAlignment="1">
      <alignment horizontal="center" vertical="center"/>
    </xf>
    <xf numFmtId="0" fontId="8" fillId="0" borderId="0" xfId="57"/>
    <xf numFmtId="0" fontId="8" fillId="54" borderId="33" xfId="57" applyFill="1" applyBorder="1"/>
    <xf numFmtId="0" fontId="8" fillId="0" borderId="0" xfId="57" applyAlignment="1">
      <alignment horizontal="left" wrapText="1"/>
    </xf>
    <xf numFmtId="0" fontId="8" fillId="0" borderId="0" xfId="57" applyAlignment="1">
      <alignment wrapText="1"/>
    </xf>
    <xf numFmtId="0" fontId="8" fillId="0" borderId="0" xfId="57" applyAlignment="1">
      <alignment wrapText="1" shrinkToFit="1"/>
    </xf>
    <xf numFmtId="0" fontId="20" fillId="0" borderId="19" xfId="57" applyFont="1" applyBorder="1" applyAlignment="1">
      <alignment horizontal="right" vertical="center" wrapText="1" shrinkToFit="1"/>
    </xf>
    <xf numFmtId="0" fontId="8" fillId="0" borderId="0" xfId="57" applyAlignment="1">
      <alignment horizontal="center"/>
    </xf>
    <xf numFmtId="0" fontId="1" fillId="55" borderId="0" xfId="57" applyFont="1" applyFill="1" applyAlignment="1">
      <alignment wrapText="1" shrinkToFit="1"/>
    </xf>
    <xf numFmtId="0" fontId="1" fillId="55" borderId="0" xfId="57" applyFont="1" applyFill="1" applyAlignment="1">
      <alignment horizontal="center" wrapText="1" shrinkToFit="1"/>
    </xf>
    <xf numFmtId="0" fontId="8" fillId="45" borderId="19" xfId="57" applyFill="1" applyBorder="1"/>
    <xf numFmtId="0" fontId="31" fillId="0" borderId="0" xfId="58" applyBorder="1" applyAlignment="1"/>
    <xf numFmtId="0" fontId="0" fillId="0" borderId="0" xfId="0" applyAlignment="1">
      <alignment wrapText="1"/>
    </xf>
    <xf numFmtId="0" fontId="0" fillId="0" borderId="0" xfId="0" applyAlignment="1"/>
    <xf numFmtId="0" fontId="28" fillId="43" borderId="0" xfId="0" applyFont="1" applyFill="1">
      <alignment vertical="center"/>
    </xf>
    <xf numFmtId="0" fontId="24" fillId="57" borderId="0" xfId="0" applyFont="1" applyFill="1" applyAlignment="1">
      <alignment horizontal="center" vertical="center"/>
    </xf>
    <xf numFmtId="0" fontId="8" fillId="54" borderId="26" xfId="57" applyFill="1" applyBorder="1"/>
    <xf numFmtId="0" fontId="1" fillId="44" borderId="19" xfId="57" applyFont="1" applyFill="1" applyBorder="1" applyAlignment="1">
      <alignment horizontal="center" wrapText="1" shrinkToFit="1"/>
    </xf>
    <xf numFmtId="49" fontId="8" fillId="0" borderId="19" xfId="57" quotePrefix="1" applyNumberFormat="1" applyBorder="1" applyAlignment="1">
      <alignment vertical="center" wrapText="1"/>
    </xf>
    <xf numFmtId="0" fontId="1" fillId="44" borderId="19" xfId="57" applyFont="1" applyFill="1" applyBorder="1" applyAlignment="1">
      <alignment wrapText="1" shrinkToFit="1"/>
    </xf>
    <xf numFmtId="0" fontId="8" fillId="0" borderId="19" xfId="57" applyBorder="1" applyAlignment="1">
      <alignment wrapText="1" shrinkToFit="1"/>
    </xf>
    <xf numFmtId="0" fontId="8" fillId="45" borderId="19" xfId="57" applyFill="1" applyBorder="1" applyAlignment="1">
      <alignment horizontal="center"/>
    </xf>
    <xf numFmtId="0" fontId="8" fillId="54" borderId="19" xfId="57" applyFill="1" applyBorder="1"/>
    <xf numFmtId="1" fontId="8" fillId="45" borderId="19" xfId="57" applyNumberFormat="1" applyFill="1" applyBorder="1"/>
    <xf numFmtId="49" fontId="8" fillId="0" borderId="0" xfId="57" applyNumberFormat="1" applyAlignment="1">
      <alignment wrapText="1"/>
    </xf>
    <xf numFmtId="0" fontId="8" fillId="0" borderId="19" xfId="57" applyBorder="1" applyAlignment="1">
      <alignment wrapText="1"/>
    </xf>
    <xf numFmtId="0" fontId="8" fillId="0" borderId="19" xfId="57" applyBorder="1" applyAlignment="1">
      <alignment vertical="center" wrapText="1" shrinkToFit="1"/>
    </xf>
    <xf numFmtId="0" fontId="8" fillId="0" borderId="19" xfId="57" applyBorder="1"/>
    <xf numFmtId="0" fontId="8" fillId="50" borderId="39" xfId="57" applyFill="1" applyBorder="1" applyAlignment="1">
      <alignment horizontal="left" wrapText="1"/>
    </xf>
    <xf numFmtId="0" fontId="8" fillId="50" borderId="39" xfId="57" applyFill="1" applyBorder="1"/>
    <xf numFmtId="0" fontId="8" fillId="40" borderId="19" xfId="57" applyFill="1" applyBorder="1"/>
    <xf numFmtId="1" fontId="8" fillId="40" borderId="19" xfId="57" applyNumberFormat="1" applyFill="1" applyBorder="1"/>
    <xf numFmtId="0" fontId="0" fillId="52" borderId="19" xfId="0" applyFill="1" applyBorder="1" applyAlignment="1">
      <alignment horizontal="left" wrapText="1"/>
    </xf>
    <xf numFmtId="0" fontId="0" fillId="52" borderId="19" xfId="0" applyFill="1" applyBorder="1" applyAlignment="1">
      <alignment horizontal="left"/>
    </xf>
    <xf numFmtId="0" fontId="30" fillId="38" borderId="0" xfId="0" applyFont="1" applyFill="1">
      <alignment vertical="center"/>
    </xf>
    <xf numFmtId="0" fontId="0" fillId="52" borderId="19" xfId="0" applyFill="1" applyBorder="1" applyAlignment="1">
      <alignment wrapText="1"/>
    </xf>
    <xf numFmtId="0" fontId="0" fillId="52" borderId="19" xfId="0" applyFill="1" applyBorder="1" applyAlignment="1"/>
    <xf numFmtId="0" fontId="0" fillId="0" borderId="19" xfId="0" applyBorder="1" applyAlignment="1"/>
    <xf numFmtId="0" fontId="0" fillId="52" borderId="0" xfId="0" applyFill="1" applyAlignment="1">
      <alignment wrapText="1"/>
    </xf>
    <xf numFmtId="0" fontId="0" fillId="52" borderId="0" xfId="0" applyFill="1" applyAlignment="1"/>
    <xf numFmtId="0" fontId="17" fillId="44" borderId="19" xfId="57" applyFont="1" applyFill="1" applyBorder="1" applyAlignment="1">
      <alignment horizontal="center" vertical="center" wrapText="1" shrinkToFit="1"/>
    </xf>
    <xf numFmtId="0" fontId="20" fillId="0" borderId="19" xfId="57" applyFont="1" applyBorder="1" applyAlignment="1">
      <alignment horizontal="center" vertical="center" wrapText="1" shrinkToFit="1"/>
    </xf>
    <xf numFmtId="0" fontId="20" fillId="0" borderId="19" xfId="57" applyFont="1" applyBorder="1" applyAlignment="1">
      <alignment horizontal="center" vertical="center" wrapText="1"/>
    </xf>
    <xf numFmtId="49" fontId="20" fillId="0" borderId="19" xfId="57" quotePrefix="1" applyNumberFormat="1" applyFont="1" applyBorder="1" applyAlignment="1">
      <alignment horizontal="center" vertical="center" wrapText="1"/>
    </xf>
    <xf numFmtId="0" fontId="8" fillId="0" borderId="19" xfId="57" applyBorder="1" applyAlignment="1">
      <alignment horizontal="center" vertical="center"/>
    </xf>
    <xf numFmtId="49" fontId="8" fillId="0" borderId="19" xfId="57" applyNumberFormat="1" applyBorder="1" applyAlignment="1">
      <alignment horizontal="center" vertical="center" wrapText="1" shrinkToFit="1"/>
    </xf>
    <xf numFmtId="0" fontId="20" fillId="0" borderId="0" xfId="0" applyFont="1" applyAlignment="1">
      <alignment horizontal="center" vertical="center"/>
    </xf>
    <xf numFmtId="0" fontId="33" fillId="47" borderId="42" xfId="0" applyFont="1" applyFill="1" applyBorder="1" applyAlignment="1">
      <alignment horizontal="center" vertical="center" wrapText="1"/>
    </xf>
    <xf numFmtId="0" fontId="1" fillId="55" borderId="0" xfId="0" applyFont="1" applyFill="1" applyAlignment="1">
      <alignment wrapText="1" shrinkToFit="1"/>
    </xf>
    <xf numFmtId="0" fontId="1" fillId="55" borderId="0" xfId="0" applyFont="1" applyFill="1" applyAlignment="1">
      <alignment horizontal="center" wrapText="1" shrinkToFit="1"/>
    </xf>
    <xf numFmtId="0" fontId="0" fillId="45" borderId="19" xfId="0" applyFill="1" applyBorder="1" applyAlignment="1"/>
    <xf numFmtId="0" fontId="0" fillId="61" borderId="19" xfId="0" applyFill="1" applyBorder="1" applyAlignment="1"/>
    <xf numFmtId="0" fontId="0" fillId="61" borderId="19" xfId="0" applyFill="1" applyBorder="1" applyAlignment="1">
      <alignment horizontal="center"/>
    </xf>
    <xf numFmtId="0" fontId="0" fillId="45" borderId="19" xfId="0" applyFill="1" applyBorder="1" applyAlignment="1">
      <alignment horizontal="center"/>
    </xf>
    <xf numFmtId="0" fontId="24" fillId="56" borderId="0" xfId="0" applyFont="1" applyFill="1" applyAlignment="1">
      <alignment horizontal="center" vertical="center"/>
    </xf>
    <xf numFmtId="0" fontId="0" fillId="54" borderId="20" xfId="0" applyFill="1" applyBorder="1" applyAlignment="1"/>
    <xf numFmtId="0" fontId="0" fillId="54" borderId="22" xfId="0" applyFill="1" applyBorder="1" applyAlignment="1"/>
    <xf numFmtId="0" fontId="0" fillId="0" borderId="20" xfId="0" applyBorder="1" applyAlignment="1"/>
    <xf numFmtId="0" fontId="0" fillId="0" borderId="22" xfId="0" applyBorder="1" applyAlignment="1">
      <alignment horizontal="left" wrapText="1"/>
    </xf>
    <xf numFmtId="0" fontId="0" fillId="0" borderId="0" xfId="0" applyAlignment="1">
      <alignment horizontal="left" wrapText="1"/>
    </xf>
    <xf numFmtId="0" fontId="1" fillId="44" borderId="19" xfId="0" applyFont="1" applyFill="1" applyBorder="1" applyAlignment="1">
      <alignment horizontal="center" wrapText="1" shrinkToFit="1"/>
    </xf>
    <xf numFmtId="0" fontId="20" fillId="0" borderId="19" xfId="0" applyFont="1" applyBorder="1" applyAlignment="1">
      <alignment horizontal="center" vertical="center" wrapText="1" shrinkToFit="1"/>
    </xf>
    <xf numFmtId="0" fontId="0" fillId="0" borderId="22" xfId="0" applyBorder="1" applyAlignment="1">
      <alignment wrapText="1"/>
    </xf>
    <xf numFmtId="0" fontId="20" fillId="45" borderId="19" xfId="0" applyFont="1" applyFill="1" applyBorder="1" applyAlignment="1">
      <alignment horizontal="center"/>
    </xf>
    <xf numFmtId="0" fontId="0" fillId="54" borderId="33" xfId="0" applyFill="1" applyBorder="1" applyAlignment="1"/>
    <xf numFmtId="0" fontId="0" fillId="0" borderId="0" xfId="0" applyAlignment="1">
      <alignment wrapText="1" shrinkToFit="1"/>
    </xf>
    <xf numFmtId="0" fontId="20" fillId="0" borderId="19" xfId="0" applyFont="1" applyBorder="1" applyAlignment="1">
      <alignment horizontal="right" vertical="center" wrapText="1" shrinkToFit="1"/>
    </xf>
    <xf numFmtId="0" fontId="0" fillId="0" borderId="0" xfId="0" applyAlignment="1">
      <alignment horizontal="center"/>
    </xf>
    <xf numFmtId="2" fontId="0" fillId="45" borderId="19" xfId="0" applyNumberFormat="1" applyFill="1" applyBorder="1" applyAlignment="1"/>
    <xf numFmtId="0" fontId="17" fillId="0" borderId="18" xfId="0" applyFont="1" applyBorder="1" applyAlignment="1">
      <alignment horizontal="left"/>
    </xf>
    <xf numFmtId="0" fontId="17" fillId="0" borderId="23" xfId="0" applyFont="1" applyBorder="1" applyAlignment="1">
      <alignment horizontal="center" wrapText="1"/>
    </xf>
    <xf numFmtId="0" fontId="17" fillId="0" borderId="24" xfId="0" applyFont="1" applyBorder="1" applyAlignment="1">
      <alignment wrapText="1"/>
    </xf>
    <xf numFmtId="0" fontId="0" fillId="0" borderId="22" xfId="0" applyBorder="1" applyAlignment="1">
      <alignment horizontal="left"/>
    </xf>
    <xf numFmtId="0" fontId="0" fillId="0" borderId="19" xfId="0" applyBorder="1" applyAlignment="1">
      <alignment horizontal="center" wrapText="1"/>
    </xf>
    <xf numFmtId="0" fontId="0" fillId="0" borderId="20" xfId="0" applyBorder="1" applyAlignment="1">
      <alignment horizontal="center" wrapText="1"/>
    </xf>
    <xf numFmtId="0" fontId="0" fillId="0" borderId="37" xfId="0" applyBorder="1" applyAlignment="1">
      <alignment horizontal="left" wrapText="1"/>
    </xf>
    <xf numFmtId="0" fontId="0" fillId="0" borderId="26" xfId="0" applyBorder="1" applyAlignment="1">
      <alignment horizontal="center" wrapText="1"/>
    </xf>
    <xf numFmtId="0" fontId="0" fillId="0" borderId="27" xfId="0" applyBorder="1" applyAlignment="1"/>
    <xf numFmtId="0" fontId="1" fillId="44" borderId="36" xfId="0" applyFont="1" applyFill="1" applyBorder="1" applyAlignment="1">
      <alignment wrapText="1" shrinkToFit="1"/>
    </xf>
    <xf numFmtId="43" fontId="0" fillId="45" borderId="35" xfId="0" applyNumberFormat="1" applyFill="1" applyBorder="1" applyAlignment="1">
      <alignment horizontal="center"/>
    </xf>
    <xf numFmtId="0" fontId="24" fillId="56" borderId="49" xfId="0" applyFont="1" applyFill="1" applyBorder="1" applyAlignment="1">
      <alignment horizontal="center" vertical="center"/>
    </xf>
    <xf numFmtId="0" fontId="20" fillId="65" borderId="0" xfId="0" applyFont="1" applyFill="1">
      <alignment vertical="center"/>
    </xf>
    <xf numFmtId="0" fontId="0" fillId="0" borderId="27" xfId="0" applyBorder="1" applyAlignment="1">
      <alignment horizontal="center" vertical="center"/>
    </xf>
    <xf numFmtId="0" fontId="0" fillId="0" borderId="33" xfId="0" applyBorder="1" applyAlignment="1">
      <alignment horizontal="left" vertical="center"/>
    </xf>
    <xf numFmtId="0" fontId="0" fillId="0" borderId="33" xfId="0" applyBorder="1" applyAlignment="1">
      <alignment horizontal="center" vertical="center"/>
    </xf>
    <xf numFmtId="0" fontId="0" fillId="0" borderId="37" xfId="0" applyBorder="1" applyAlignment="1">
      <alignment horizontal="center" vertical="center"/>
    </xf>
    <xf numFmtId="0" fontId="0" fillId="0" borderId="36" xfId="0" applyBorder="1" applyAlignment="1">
      <alignment horizontal="center" vertical="center"/>
    </xf>
    <xf numFmtId="0" fontId="0" fillId="0" borderId="50" xfId="0" applyBorder="1" applyAlignment="1">
      <alignment horizontal="center" vertical="center"/>
    </xf>
    <xf numFmtId="0" fontId="0" fillId="0" borderId="19" xfId="0" applyBorder="1" applyAlignment="1">
      <alignment horizontal="center" vertical="center"/>
    </xf>
    <xf numFmtId="43" fontId="0" fillId="0" borderId="0" xfId="19" applyFont="1" applyFill="1" applyAlignment="1">
      <alignment horizontal="center" vertical="center"/>
    </xf>
    <xf numFmtId="167" fontId="0" fillId="47" borderId="19" xfId="19" applyNumberFormat="1" applyFont="1" applyFill="1" applyBorder="1" applyAlignment="1">
      <alignment horizontal="center" vertical="center"/>
    </xf>
    <xf numFmtId="167" fontId="0" fillId="59" borderId="19" xfId="19" applyNumberFormat="1" applyFont="1" applyFill="1" applyBorder="1" applyAlignment="1">
      <alignment horizontal="center" vertical="center"/>
    </xf>
    <xf numFmtId="167" fontId="0" fillId="66" borderId="19" xfId="19" applyNumberFormat="1" applyFont="1" applyFill="1" applyBorder="1" applyAlignment="1">
      <alignment horizontal="center" vertical="center"/>
    </xf>
    <xf numFmtId="43" fontId="0" fillId="59" borderId="0" xfId="19" applyFont="1" applyFill="1" applyAlignment="1">
      <alignment horizontal="center" vertical="center"/>
    </xf>
    <xf numFmtId="43" fontId="0" fillId="67" borderId="0" xfId="19" applyFont="1" applyFill="1" applyAlignment="1">
      <alignment horizontal="center" vertical="center"/>
    </xf>
    <xf numFmtId="0" fontId="26" fillId="47" borderId="0" xfId="0" applyFont="1" applyFill="1" applyAlignment="1">
      <alignment horizontal="center" vertical="center"/>
    </xf>
    <xf numFmtId="0" fontId="0" fillId="66" borderId="0" xfId="0" applyFill="1" applyAlignment="1">
      <alignment horizontal="center" vertical="center"/>
    </xf>
    <xf numFmtId="43" fontId="0" fillId="66" borderId="0" xfId="19" applyFont="1" applyFill="1" applyBorder="1" applyAlignment="1">
      <alignment horizontal="center" vertical="center"/>
    </xf>
    <xf numFmtId="43" fontId="0" fillId="0" borderId="0" xfId="19" applyFont="1" applyBorder="1" applyAlignment="1">
      <alignment horizontal="center" vertical="center"/>
    </xf>
    <xf numFmtId="0" fontId="26" fillId="47" borderId="13" xfId="0" applyFont="1" applyFill="1" applyBorder="1" applyAlignment="1">
      <alignment horizontal="center" vertical="center"/>
    </xf>
    <xf numFmtId="168" fontId="0" fillId="0" borderId="19" xfId="19" applyNumberFormat="1" applyFont="1" applyBorder="1" applyAlignment="1">
      <alignment horizontal="center" vertical="center"/>
    </xf>
    <xf numFmtId="0" fontId="26" fillId="66" borderId="13" xfId="0" applyFont="1" applyFill="1" applyBorder="1" applyAlignment="1">
      <alignment horizontal="center" vertical="center"/>
    </xf>
    <xf numFmtId="167" fontId="0" fillId="0" borderId="19" xfId="19" applyNumberFormat="1" applyFont="1" applyBorder="1" applyAlignment="1">
      <alignment horizontal="center" vertical="center"/>
    </xf>
    <xf numFmtId="0" fontId="0" fillId="54" borderId="0" xfId="0" applyFill="1" applyAlignment="1">
      <alignment horizontal="center" vertical="center"/>
    </xf>
    <xf numFmtId="168" fontId="0" fillId="0" borderId="0" xfId="19" applyNumberFormat="1" applyFont="1" applyAlignment="1">
      <alignment horizontal="center" vertical="center"/>
    </xf>
    <xf numFmtId="0" fontId="18" fillId="54" borderId="0" xfId="0" applyFont="1" applyFill="1" applyAlignment="1">
      <alignment horizontal="center" vertical="center"/>
    </xf>
    <xf numFmtId="0" fontId="0" fillId="0" borderId="24" xfId="0" applyBorder="1" applyAlignment="1">
      <alignment horizontal="center" vertical="center"/>
    </xf>
    <xf numFmtId="0" fontId="0" fillId="0" borderId="17" xfId="0" applyBorder="1" applyAlignment="1">
      <alignment horizontal="left" vertical="center"/>
    </xf>
    <xf numFmtId="0" fontId="0" fillId="0" borderId="17" xfId="0" applyBorder="1" applyAlignment="1">
      <alignment horizontal="center" vertical="center"/>
    </xf>
    <xf numFmtId="0" fontId="0" fillId="0" borderId="18" xfId="0" applyBorder="1" applyAlignment="1">
      <alignment horizontal="center" vertical="center"/>
    </xf>
    <xf numFmtId="0" fontId="25" fillId="0" borderId="51" xfId="0" applyFont="1" applyBorder="1">
      <alignment vertical="center"/>
    </xf>
    <xf numFmtId="0" fontId="25" fillId="0" borderId="52" xfId="0" applyFont="1" applyBorder="1">
      <alignment vertical="center"/>
    </xf>
    <xf numFmtId="0" fontId="29" fillId="47" borderId="36" xfId="0" applyFont="1" applyFill="1" applyBorder="1">
      <alignment vertical="center"/>
    </xf>
    <xf numFmtId="0" fontId="0" fillId="47" borderId="50" xfId="0" applyFill="1" applyBorder="1" applyAlignment="1">
      <alignment horizontal="center" vertical="center"/>
    </xf>
    <xf numFmtId="0" fontId="35" fillId="66" borderId="24" xfId="0" applyFont="1" applyFill="1" applyBorder="1" applyAlignment="1">
      <alignment horizontal="center" vertical="center"/>
    </xf>
    <xf numFmtId="0" fontId="36" fillId="66" borderId="18" xfId="0" applyFont="1" applyFill="1" applyBorder="1" applyAlignment="1">
      <alignment horizontal="center" vertical="center"/>
    </xf>
    <xf numFmtId="43" fontId="0" fillId="0" borderId="0" xfId="19" applyFont="1" applyFill="1" applyBorder="1" applyAlignment="1">
      <alignment horizontal="center" vertical="center"/>
    </xf>
    <xf numFmtId="43" fontId="0" fillId="0" borderId="50" xfId="19" applyFont="1" applyFill="1" applyBorder="1" applyAlignment="1">
      <alignment horizontal="center" vertical="center"/>
    </xf>
    <xf numFmtId="0" fontId="20" fillId="47" borderId="53" xfId="0" applyFont="1" applyFill="1" applyBorder="1" applyAlignment="1">
      <alignment horizontal="center" vertical="center"/>
    </xf>
    <xf numFmtId="0" fontId="26" fillId="47" borderId="54" xfId="0" applyFont="1" applyFill="1" applyBorder="1" applyAlignment="1">
      <alignment horizontal="center" vertical="center"/>
    </xf>
    <xf numFmtId="0" fontId="0" fillId="47" borderId="18" xfId="0" applyFill="1" applyBorder="1" applyAlignment="1">
      <alignment horizontal="center" vertical="center"/>
    </xf>
    <xf numFmtId="0" fontId="26" fillId="0" borderId="55" xfId="0" applyFont="1" applyBorder="1" applyAlignment="1">
      <alignment horizontal="center" vertical="center"/>
    </xf>
    <xf numFmtId="0" fontId="20" fillId="0" borderId="56" xfId="0" applyFont="1" applyBorder="1" applyAlignment="1">
      <alignment horizontal="left" vertical="center"/>
    </xf>
    <xf numFmtId="0" fontId="0" fillId="0" borderId="36" xfId="0" applyBorder="1" applyAlignment="1">
      <alignment horizontal="left" vertical="center"/>
    </xf>
    <xf numFmtId="43" fontId="0" fillId="0" borderId="50" xfId="19" applyFont="1" applyBorder="1" applyAlignment="1">
      <alignment horizontal="center" vertical="center"/>
    </xf>
    <xf numFmtId="0" fontId="20" fillId="0" borderId="57" xfId="0" applyFont="1" applyBorder="1" applyAlignment="1">
      <alignment horizontal="left" vertical="center"/>
    </xf>
    <xf numFmtId="0" fontId="20" fillId="0" borderId="58" xfId="0" applyFont="1" applyBorder="1" applyAlignment="1">
      <alignment horizontal="left" vertical="center"/>
    </xf>
    <xf numFmtId="0" fontId="20" fillId="0" borderId="36" xfId="0" applyFont="1" applyBorder="1" applyAlignment="1">
      <alignment horizontal="left" vertical="center"/>
    </xf>
    <xf numFmtId="0" fontId="0" fillId="0" borderId="24" xfId="0" applyBorder="1" applyAlignment="1">
      <alignment horizontal="left" vertical="center"/>
    </xf>
    <xf numFmtId="168" fontId="0" fillId="0" borderId="18" xfId="19" applyNumberFormat="1" applyFont="1" applyBorder="1" applyAlignment="1">
      <alignment horizontal="center" vertical="center"/>
    </xf>
    <xf numFmtId="0" fontId="26" fillId="0" borderId="17" xfId="0" applyFont="1" applyBorder="1" applyAlignment="1">
      <alignment horizontal="center" vertical="center"/>
    </xf>
    <xf numFmtId="0" fontId="26" fillId="0" borderId="33" xfId="0" applyFont="1" applyBorder="1" applyAlignment="1">
      <alignment horizontal="center" vertical="center"/>
    </xf>
    <xf numFmtId="43" fontId="0" fillId="0" borderId="37" xfId="0" applyNumberFormat="1" applyBorder="1" applyAlignment="1">
      <alignment horizontal="center" vertical="center"/>
    </xf>
    <xf numFmtId="0" fontId="20" fillId="0" borderId="17" xfId="0" applyFont="1" applyBorder="1" applyAlignment="1">
      <alignment horizontal="center" vertical="center"/>
    </xf>
    <xf numFmtId="43" fontId="0" fillId="0" borderId="17" xfId="19" applyFont="1" applyFill="1" applyBorder="1" applyAlignment="1">
      <alignment horizontal="center" vertical="center"/>
    </xf>
    <xf numFmtId="43" fontId="0" fillId="0" borderId="17" xfId="0" applyNumberFormat="1" applyBorder="1" applyAlignment="1">
      <alignment horizontal="center" vertical="center"/>
    </xf>
    <xf numFmtId="43" fontId="0" fillId="0" borderId="18" xfId="19" applyFont="1" applyFill="1" applyBorder="1" applyAlignment="1">
      <alignment horizontal="center" vertical="center"/>
    </xf>
    <xf numFmtId="43" fontId="0" fillId="0" borderId="33" xfId="19" applyFont="1" applyFill="1" applyBorder="1" applyAlignment="1">
      <alignment horizontal="center" vertical="center"/>
    </xf>
    <xf numFmtId="43" fontId="0" fillId="0" borderId="33" xfId="0" applyNumberFormat="1" applyBorder="1" applyAlignment="1">
      <alignment horizontal="center" vertical="center"/>
    </xf>
    <xf numFmtId="43" fontId="0" fillId="0" borderId="37" xfId="19" applyFont="1" applyFill="1" applyBorder="1" applyAlignment="1">
      <alignment horizontal="center" vertical="center"/>
    </xf>
    <xf numFmtId="0" fontId="25" fillId="0" borderId="27" xfId="0" applyFont="1" applyBorder="1">
      <alignment vertical="center"/>
    </xf>
    <xf numFmtId="43" fontId="0" fillId="0" borderId="18" xfId="0" applyNumberFormat="1" applyBorder="1" applyAlignment="1">
      <alignment horizontal="center" vertical="center"/>
    </xf>
    <xf numFmtId="0" fontId="31" fillId="0" borderId="0" xfId="59">
      <alignment vertical="center"/>
    </xf>
    <xf numFmtId="9" fontId="0" fillId="0" borderId="0" xfId="0" applyNumberFormat="1" applyAlignment="1">
      <alignment horizontal="center" vertical="center"/>
    </xf>
    <xf numFmtId="9" fontId="0" fillId="0" borderId="50" xfId="0" applyNumberFormat="1" applyBorder="1" applyAlignment="1">
      <alignment horizontal="center" vertical="center"/>
    </xf>
    <xf numFmtId="0" fontId="35" fillId="66" borderId="0" xfId="0" applyFont="1" applyFill="1" applyAlignment="1">
      <alignment horizontal="center" vertical="center"/>
    </xf>
    <xf numFmtId="0" fontId="42" fillId="66" borderId="0" xfId="0" applyFont="1" applyFill="1" applyAlignment="1">
      <alignment horizontal="center" vertical="center"/>
    </xf>
    <xf numFmtId="0" fontId="0" fillId="0" borderId="0" xfId="0" applyAlignment="1">
      <alignment horizontal="center" vertical="center" wrapText="1"/>
    </xf>
    <xf numFmtId="0" fontId="0" fillId="68" borderId="37" xfId="0" applyFill="1" applyBorder="1" applyAlignment="1">
      <alignment horizontal="center" vertical="center"/>
    </xf>
    <xf numFmtId="0" fontId="0" fillId="68" borderId="0" xfId="0" quotePrefix="1" applyFill="1" applyAlignment="1">
      <alignment horizontal="center" vertical="center"/>
    </xf>
    <xf numFmtId="0" fontId="0" fillId="68" borderId="50" xfId="0" applyFill="1" applyBorder="1" applyAlignment="1">
      <alignment horizontal="center" vertical="center"/>
    </xf>
    <xf numFmtId="0" fontId="0" fillId="68" borderId="0" xfId="0" applyFill="1" applyAlignment="1">
      <alignment horizontal="center" vertical="center"/>
    </xf>
    <xf numFmtId="43" fontId="0" fillId="0" borderId="50" xfId="19" applyFont="1" applyBorder="1" applyAlignment="1">
      <alignment vertical="center"/>
    </xf>
    <xf numFmtId="0" fontId="0" fillId="40" borderId="0" xfId="0" applyFill="1" applyAlignment="1">
      <alignment horizontal="center" vertical="center"/>
    </xf>
    <xf numFmtId="0" fontId="32" fillId="38" borderId="0" xfId="0" applyFont="1" applyFill="1">
      <alignment vertical="center"/>
    </xf>
    <xf numFmtId="0" fontId="1" fillId="44" borderId="0" xfId="0" applyFont="1" applyFill="1" applyAlignment="1">
      <alignment horizontal="center" wrapText="1" shrinkToFit="1"/>
    </xf>
    <xf numFmtId="0" fontId="0" fillId="0" borderId="19" xfId="0" applyBorder="1" applyAlignment="1">
      <alignment horizontal="center"/>
    </xf>
    <xf numFmtId="0" fontId="1" fillId="44" borderId="0" xfId="0" applyFont="1" applyFill="1" applyAlignment="1">
      <alignment wrapText="1" shrinkToFit="1"/>
    </xf>
    <xf numFmtId="0" fontId="0" fillId="0" borderId="19" xfId="0" applyBorder="1" applyAlignment="1">
      <alignment horizontal="center" vertical="center" wrapText="1"/>
    </xf>
    <xf numFmtId="0" fontId="20" fillId="0" borderId="0" xfId="0" applyFont="1">
      <alignment vertical="center"/>
    </xf>
    <xf numFmtId="43" fontId="0" fillId="45" borderId="19" xfId="0" applyNumberFormat="1" applyFill="1" applyBorder="1" applyAlignment="1">
      <alignment horizontal="center" wrapText="1"/>
    </xf>
    <xf numFmtId="0" fontId="0" fillId="0" borderId="59" xfId="0" applyBorder="1" applyAlignment="1"/>
    <xf numFmtId="49" fontId="0" fillId="0" borderId="19" xfId="0" applyNumberFormat="1" applyBorder="1" applyAlignment="1">
      <alignment horizontal="center"/>
    </xf>
    <xf numFmtId="49" fontId="0" fillId="0" borderId="19" xfId="0" applyNumberFormat="1" applyBorder="1" applyAlignment="1">
      <alignment horizontal="right"/>
    </xf>
    <xf numFmtId="0" fontId="0" fillId="54" borderId="19" xfId="0" applyFill="1" applyBorder="1" applyAlignment="1"/>
    <xf numFmtId="0" fontId="0" fillId="54" borderId="26" xfId="0" applyFill="1" applyBorder="1" applyAlignment="1"/>
    <xf numFmtId="1" fontId="0" fillId="45" borderId="19" xfId="0" applyNumberFormat="1" applyFill="1" applyBorder="1" applyAlignment="1">
      <alignment horizontal="center"/>
    </xf>
    <xf numFmtId="0" fontId="0" fillId="0" borderId="23" xfId="0" applyBorder="1" applyAlignment="1"/>
    <xf numFmtId="1" fontId="0" fillId="0" borderId="0" xfId="0" applyNumberFormat="1" applyAlignment="1">
      <alignment horizontal="right"/>
    </xf>
    <xf numFmtId="9" fontId="0" fillId="0" borderId="0" xfId="0" applyNumberFormat="1" applyAlignment="1"/>
    <xf numFmtId="1" fontId="0" fillId="0" borderId="0" xfId="0" applyNumberFormat="1" applyAlignment="1">
      <alignment horizontal="right" wrapText="1"/>
    </xf>
    <xf numFmtId="0" fontId="31" fillId="0" borderId="36" xfId="58" applyBorder="1" applyAlignment="1"/>
    <xf numFmtId="0" fontId="20" fillId="63" borderId="0" xfId="0" applyFont="1" applyFill="1" applyAlignment="1">
      <alignment horizontal="left" vertical="center"/>
    </xf>
    <xf numFmtId="0" fontId="0" fillId="63" borderId="0" xfId="0" applyFill="1">
      <alignment vertical="center"/>
    </xf>
    <xf numFmtId="0" fontId="0" fillId="65" borderId="0" xfId="0" applyFill="1">
      <alignment vertical="center"/>
    </xf>
    <xf numFmtId="0" fontId="0" fillId="47" borderId="19" xfId="0" applyFill="1" applyBorder="1" applyAlignment="1">
      <alignment horizontal="left" wrapText="1"/>
    </xf>
    <xf numFmtId="0" fontId="0" fillId="47" borderId="19" xfId="0" applyFill="1" applyBorder="1" applyAlignment="1"/>
    <xf numFmtId="0" fontId="0" fillId="47" borderId="19" xfId="0" applyFill="1" applyBorder="1" applyAlignment="1">
      <alignment horizontal="left"/>
    </xf>
    <xf numFmtId="43" fontId="0" fillId="45" borderId="19" xfId="0" applyNumberFormat="1" applyFill="1" applyBorder="1" applyAlignment="1">
      <alignment horizontal="center"/>
    </xf>
    <xf numFmtId="1" fontId="0" fillId="0" borderId="0" xfId="0" applyNumberFormat="1" applyAlignment="1">
      <alignment horizontal="left"/>
    </xf>
    <xf numFmtId="1" fontId="0" fillId="0" borderId="0" xfId="0" applyNumberFormat="1" applyAlignment="1">
      <alignment horizontal="left" wrapText="1"/>
    </xf>
    <xf numFmtId="0" fontId="0" fillId="69" borderId="19" xfId="0" applyFill="1" applyBorder="1" applyAlignment="1">
      <alignment horizontal="center" wrapText="1"/>
    </xf>
    <xf numFmtId="0" fontId="0" fillId="0" borderId="19" xfId="0" applyBorder="1" applyAlignment="1">
      <alignment wrapText="1"/>
    </xf>
    <xf numFmtId="1" fontId="0" fillId="0" borderId="19" xfId="0" applyNumberFormat="1" applyBorder="1" applyAlignment="1"/>
    <xf numFmtId="1" fontId="0" fillId="0" borderId="60" xfId="0" applyNumberFormat="1" applyBorder="1" applyAlignment="1">
      <alignment horizontal="right"/>
    </xf>
    <xf numFmtId="0" fontId="0" fillId="0" borderId="36" xfId="0" applyBorder="1">
      <alignment vertical="center"/>
    </xf>
    <xf numFmtId="0" fontId="0" fillId="0" borderId="50" xfId="0" applyBorder="1">
      <alignment vertical="center"/>
    </xf>
    <xf numFmtId="0" fontId="0" fillId="0" borderId="24" xfId="0" applyBorder="1">
      <alignment vertical="center"/>
    </xf>
    <xf numFmtId="0" fontId="0" fillId="0" borderId="17" xfId="0" applyBorder="1">
      <alignment vertical="center"/>
    </xf>
    <xf numFmtId="0" fontId="0" fillId="0" borderId="18" xfId="0" applyBorder="1">
      <alignment vertical="center"/>
    </xf>
    <xf numFmtId="43" fontId="0" fillId="47" borderId="50" xfId="0" applyNumberFormat="1" applyFill="1" applyBorder="1" applyAlignment="1">
      <alignment horizontal="center" vertical="center"/>
    </xf>
    <xf numFmtId="0" fontId="20" fillId="0" borderId="36" xfId="0" applyFont="1" applyBorder="1">
      <alignment vertical="center"/>
    </xf>
    <xf numFmtId="169" fontId="0" fillId="0" borderId="0" xfId="0" applyNumberFormat="1">
      <alignment vertical="center"/>
    </xf>
    <xf numFmtId="43" fontId="0" fillId="2" borderId="0" xfId="0" applyNumberFormat="1" applyFill="1" applyAlignment="1">
      <alignment horizontal="center" vertical="center"/>
    </xf>
    <xf numFmtId="168" fontId="0" fillId="0" borderId="50" xfId="19" applyNumberFormat="1" applyFont="1" applyBorder="1" applyAlignment="1">
      <alignment horizontal="center" vertical="center"/>
    </xf>
    <xf numFmtId="9" fontId="26" fillId="0" borderId="50" xfId="23" applyFont="1" applyBorder="1" applyAlignment="1">
      <alignment horizontal="center" vertical="center"/>
    </xf>
    <xf numFmtId="43" fontId="20" fillId="0" borderId="50" xfId="0" applyNumberFormat="1" applyFont="1" applyBorder="1">
      <alignment vertical="center"/>
    </xf>
    <xf numFmtId="0" fontId="26" fillId="0" borderId="50" xfId="0" applyFont="1" applyBorder="1" applyAlignment="1">
      <alignment horizontal="center" vertical="center"/>
    </xf>
    <xf numFmtId="43" fontId="0" fillId="66" borderId="0" xfId="19" applyFont="1" applyFill="1" applyBorder="1" applyAlignment="1">
      <alignment horizontal="right" vertical="center"/>
    </xf>
    <xf numFmtId="43" fontId="8" fillId="0" borderId="50" xfId="19" applyFont="1" applyBorder="1" applyAlignment="1">
      <alignment horizontal="center" vertical="center"/>
    </xf>
    <xf numFmtId="43" fontId="8" fillId="45" borderId="19" xfId="57" applyNumberFormat="1" applyFill="1" applyBorder="1" applyAlignment="1">
      <alignment horizontal="center"/>
    </xf>
    <xf numFmtId="43" fontId="8" fillId="45" borderId="19" xfId="57" applyNumberFormat="1" applyFill="1" applyBorder="1" applyAlignment="1">
      <alignment horizontal="center" wrapText="1"/>
    </xf>
    <xf numFmtId="0" fontId="46" fillId="0" borderId="0" xfId="0" applyFont="1">
      <alignment vertical="center"/>
    </xf>
    <xf numFmtId="0" fontId="47" fillId="0" borderId="0" xfId="0" applyFont="1" applyAlignment="1">
      <alignment horizontal="center" vertical="center"/>
    </xf>
    <xf numFmtId="0" fontId="1" fillId="2" borderId="65" xfId="0" applyFont="1" applyFill="1" applyBorder="1">
      <alignment vertical="center"/>
    </xf>
    <xf numFmtId="0" fontId="1" fillId="2" borderId="66" xfId="0" applyFont="1" applyFill="1" applyBorder="1">
      <alignment vertical="center"/>
    </xf>
    <xf numFmtId="2" fontId="0" fillId="45" borderId="19" xfId="0" applyNumberFormat="1" applyFill="1" applyBorder="1" applyAlignment="1">
      <alignment horizontal="center"/>
    </xf>
    <xf numFmtId="0" fontId="0" fillId="0" borderId="34" xfId="0" applyBorder="1" applyAlignment="1">
      <alignment wrapText="1"/>
    </xf>
    <xf numFmtId="0" fontId="0" fillId="47" borderId="0" xfId="0" applyFill="1" applyAlignment="1"/>
    <xf numFmtId="0" fontId="20" fillId="45" borderId="19" xfId="0" applyFont="1" applyFill="1" applyBorder="1" applyAlignment="1">
      <alignment horizontal="center" wrapText="1"/>
    </xf>
    <xf numFmtId="0" fontId="0" fillId="45" borderId="19" xfId="0" applyFill="1" applyBorder="1" applyAlignment="1">
      <alignment horizontal="center" vertical="center" wrapText="1"/>
    </xf>
    <xf numFmtId="0" fontId="0" fillId="0" borderId="24" xfId="0" applyBorder="1" applyAlignment="1">
      <alignment wrapText="1"/>
    </xf>
    <xf numFmtId="0" fontId="0" fillId="0" borderId="17" xfId="0" applyBorder="1" applyAlignment="1"/>
    <xf numFmtId="0" fontId="0" fillId="0" borderId="17" xfId="0" applyBorder="1" applyAlignment="1">
      <alignment wrapText="1"/>
    </xf>
    <xf numFmtId="0" fontId="0" fillId="71" borderId="0" xfId="0" applyFill="1" applyAlignment="1">
      <alignment wrapText="1"/>
    </xf>
    <xf numFmtId="0" fontId="0" fillId="71" borderId="19" xfId="0" applyFill="1" applyBorder="1" applyAlignment="1">
      <alignment horizontal="center" vertical="center"/>
    </xf>
    <xf numFmtId="0" fontId="0" fillId="71" borderId="19" xfId="0" applyFill="1" applyBorder="1" applyAlignment="1">
      <alignment wrapText="1"/>
    </xf>
    <xf numFmtId="0" fontId="0" fillId="71" borderId="19" xfId="0" applyFill="1" applyBorder="1" applyAlignment="1">
      <alignment horizontal="center" vertical="center" wrapText="1"/>
    </xf>
    <xf numFmtId="0" fontId="50" fillId="0" borderId="19" xfId="60" applyNumberFormat="1" applyFont="1" applyFill="1" applyBorder="1" applyAlignment="1" applyProtection="1">
      <alignment horizontal="left" vertical="center"/>
    </xf>
    <xf numFmtId="2" fontId="0" fillId="0" borderId="19" xfId="0" applyNumberFormat="1" applyBorder="1" applyAlignment="1">
      <alignment horizontal="center"/>
    </xf>
    <xf numFmtId="0" fontId="50" fillId="0" borderId="50" xfId="60" applyNumberFormat="1" applyFont="1" applyFill="1" applyBorder="1" applyAlignment="1" applyProtection="1">
      <alignment horizontal="left" vertical="center"/>
    </xf>
    <xf numFmtId="0" fontId="0" fillId="45" borderId="0" xfId="0" applyFill="1" applyAlignment="1">
      <alignment horizontal="center"/>
    </xf>
    <xf numFmtId="2" fontId="20" fillId="45" borderId="19" xfId="0" applyNumberFormat="1" applyFont="1" applyFill="1" applyBorder="1" applyAlignment="1">
      <alignment horizontal="center"/>
    </xf>
    <xf numFmtId="10" fontId="48" fillId="71" borderId="19" xfId="0" applyNumberFormat="1" applyFont="1" applyFill="1" applyBorder="1" applyAlignment="1">
      <alignment horizontal="center" vertical="center" wrapText="1"/>
    </xf>
    <xf numFmtId="1" fontId="48" fillId="71" borderId="19" xfId="0" applyNumberFormat="1" applyFont="1" applyFill="1" applyBorder="1" applyAlignment="1">
      <alignment horizontal="center" vertical="center" wrapText="1"/>
    </xf>
    <xf numFmtId="0" fontId="20" fillId="0" borderId="19" xfId="0" applyFont="1" applyBorder="1" applyAlignment="1">
      <alignment horizontal="right" wrapText="1"/>
    </xf>
    <xf numFmtId="0" fontId="8" fillId="45" borderId="19" xfId="57" applyFill="1" applyBorder="1" applyAlignment="1">
      <alignment horizontal="center" vertical="center" wrapText="1"/>
    </xf>
    <xf numFmtId="0" fontId="1" fillId="49" borderId="19" xfId="57" applyFont="1" applyFill="1" applyBorder="1" applyAlignment="1">
      <alignment horizontal="center"/>
    </xf>
    <xf numFmtId="0" fontId="1" fillId="49" borderId="19" xfId="57" applyFont="1" applyFill="1" applyBorder="1" applyAlignment="1">
      <alignment horizontal="center" wrapText="1"/>
    </xf>
    <xf numFmtId="0" fontId="8" fillId="0" borderId="19" xfId="57" applyBorder="1" applyAlignment="1">
      <alignment vertical="center"/>
    </xf>
    <xf numFmtId="0" fontId="8" fillId="0" borderId="24" xfId="57" applyBorder="1" applyAlignment="1">
      <alignment wrapText="1"/>
    </xf>
    <xf numFmtId="0" fontId="8" fillId="0" borderId="17" xfId="57" applyBorder="1"/>
    <xf numFmtId="0" fontId="8" fillId="0" borderId="17" xfId="57" applyBorder="1" applyAlignment="1">
      <alignment wrapText="1"/>
    </xf>
    <xf numFmtId="0" fontId="20" fillId="45" borderId="19" xfId="57" applyFont="1" applyFill="1" applyBorder="1" applyAlignment="1">
      <alignment horizontal="center"/>
    </xf>
    <xf numFmtId="0" fontId="8" fillId="0" borderId="0" xfId="57" applyAlignment="1">
      <alignment vertical="center"/>
    </xf>
    <xf numFmtId="0" fontId="20" fillId="0" borderId="0" xfId="57" applyFont="1" applyAlignment="1">
      <alignment horizontal="center" vertical="center"/>
    </xf>
    <xf numFmtId="0" fontId="20" fillId="0" borderId="19" xfId="57" applyFont="1" applyBorder="1" applyAlignment="1">
      <alignment vertical="center" wrapText="1"/>
    </xf>
    <xf numFmtId="0" fontId="8" fillId="0" borderId="19" xfId="57" applyBorder="1" applyAlignment="1">
      <alignment vertical="center" wrapText="1"/>
    </xf>
    <xf numFmtId="0" fontId="20" fillId="0" borderId="19" xfId="57" applyFont="1" applyBorder="1" applyAlignment="1">
      <alignment horizontal="right" vertical="center" wrapText="1"/>
    </xf>
    <xf numFmtId="0" fontId="8" fillId="45" borderId="19" xfId="57" applyFill="1" applyBorder="1" applyAlignment="1">
      <alignment horizontal="center" vertical="center"/>
    </xf>
    <xf numFmtId="0" fontId="20" fillId="45" borderId="19" xfId="57" applyFont="1" applyFill="1" applyBorder="1" applyAlignment="1">
      <alignment horizontal="center" vertical="center" wrapText="1"/>
    </xf>
    <xf numFmtId="43" fontId="6" fillId="0" borderId="19" xfId="57" applyNumberFormat="1" applyFont="1" applyBorder="1" applyAlignment="1">
      <alignment horizontal="center" wrapText="1" shrinkToFit="1"/>
    </xf>
    <xf numFmtId="43" fontId="8" fillId="45" borderId="19" xfId="57" applyNumberFormat="1" applyFill="1" applyBorder="1" applyAlignment="1">
      <alignment horizontal="center" vertical="center" wrapText="1"/>
    </xf>
    <xf numFmtId="0" fontId="1" fillId="49" borderId="19" xfId="0" applyFont="1" applyFill="1" applyBorder="1" applyAlignment="1">
      <alignment horizontal="center"/>
    </xf>
    <xf numFmtId="0" fontId="1" fillId="49" borderId="19" xfId="0" applyFont="1" applyFill="1" applyBorder="1" applyAlignment="1">
      <alignment horizontal="center" wrapText="1"/>
    </xf>
    <xf numFmtId="43" fontId="0" fillId="0" borderId="0" xfId="19" applyFont="1" applyFill="1" applyBorder="1" applyAlignment="1">
      <alignment horizontal="left" vertical="center"/>
    </xf>
    <xf numFmtId="43" fontId="20" fillId="0" borderId="0" xfId="19" applyFont="1" applyBorder="1" applyAlignment="1">
      <alignment vertical="center"/>
    </xf>
    <xf numFmtId="43" fontId="0" fillId="0" borderId="0" xfId="19" applyFont="1" applyFill="1" applyBorder="1" applyAlignment="1">
      <alignment horizontal="right" vertical="center"/>
    </xf>
    <xf numFmtId="43" fontId="0" fillId="0" borderId="18" xfId="0" applyNumberFormat="1" applyBorder="1">
      <alignment vertical="center"/>
    </xf>
    <xf numFmtId="43" fontId="0" fillId="0" borderId="0" xfId="19" applyFont="1" applyFill="1" applyBorder="1" applyAlignment="1">
      <alignment vertical="center"/>
    </xf>
    <xf numFmtId="0" fontId="20" fillId="47" borderId="36" xfId="0" applyFont="1" applyFill="1" applyBorder="1" applyAlignment="1">
      <alignment horizontal="left" vertical="center"/>
    </xf>
    <xf numFmtId="43" fontId="0" fillId="72" borderId="36" xfId="19" applyFont="1" applyFill="1" applyBorder="1" applyAlignment="1">
      <alignment horizontal="center" vertical="center"/>
    </xf>
    <xf numFmtId="43" fontId="0" fillId="0" borderId="50" xfId="19" applyFont="1" applyFill="1" applyBorder="1" applyAlignment="1">
      <alignment vertical="center"/>
    </xf>
    <xf numFmtId="43" fontId="0" fillId="72" borderId="36" xfId="0" applyNumberFormat="1" applyFill="1" applyBorder="1" applyAlignment="1">
      <alignment horizontal="center" vertical="center"/>
    </xf>
    <xf numFmtId="43" fontId="0" fillId="0" borderId="36" xfId="0" applyNumberFormat="1" applyBorder="1" applyAlignment="1">
      <alignment horizontal="center" vertical="center"/>
    </xf>
    <xf numFmtId="43" fontId="0" fillId="0" borderId="36" xfId="19" applyFont="1" applyFill="1" applyBorder="1" applyAlignment="1">
      <alignment horizontal="center" vertical="center"/>
    </xf>
    <xf numFmtId="170" fontId="0" fillId="0" borderId="50" xfId="19" applyNumberFormat="1" applyFont="1" applyBorder="1" applyAlignment="1">
      <alignment horizontal="center" vertical="center"/>
    </xf>
    <xf numFmtId="168" fontId="0" fillId="0" borderId="18" xfId="0" applyNumberFormat="1" applyBorder="1">
      <alignment vertical="center"/>
    </xf>
    <xf numFmtId="168" fontId="0" fillId="0" borderId="37" xfId="0" applyNumberFormat="1" applyBorder="1" applyAlignment="1">
      <alignment horizontal="center" vertical="center"/>
    </xf>
    <xf numFmtId="43" fontId="0" fillId="0" borderId="50" xfId="19" applyFont="1" applyFill="1" applyBorder="1" applyAlignment="1">
      <alignment horizontal="right" vertical="center"/>
    </xf>
    <xf numFmtId="9" fontId="20" fillId="0" borderId="0" xfId="19" applyNumberFormat="1" applyFont="1" applyBorder="1" applyAlignment="1">
      <alignment vertical="center"/>
    </xf>
    <xf numFmtId="43" fontId="31" fillId="0" borderId="0" xfId="59" applyNumberFormat="1" applyFill="1" applyBorder="1" applyAlignment="1">
      <alignment horizontal="left" vertical="center"/>
    </xf>
    <xf numFmtId="0" fontId="0" fillId="38" borderId="0" xfId="0" applyFill="1" applyAlignment="1">
      <alignment horizontal="center" vertical="center"/>
    </xf>
    <xf numFmtId="0" fontId="46" fillId="0" borderId="0" xfId="0" applyFont="1" applyAlignment="1">
      <alignment horizontal="center" vertical="center"/>
    </xf>
    <xf numFmtId="43" fontId="46" fillId="0" borderId="0" xfId="19" applyFont="1" applyAlignment="1">
      <alignment horizontal="center" vertical="center"/>
    </xf>
    <xf numFmtId="0" fontId="46" fillId="0" borderId="76" xfId="0" applyFont="1" applyBorder="1">
      <alignment vertical="center"/>
    </xf>
    <xf numFmtId="43" fontId="46" fillId="0" borderId="76" xfId="19" applyFont="1" applyBorder="1" applyAlignment="1">
      <alignment horizontal="center" vertical="center"/>
    </xf>
    <xf numFmtId="0" fontId="46" fillId="0" borderId="76" xfId="0" applyFont="1" applyBorder="1" applyAlignment="1">
      <alignment horizontal="center" vertical="center"/>
    </xf>
    <xf numFmtId="14" fontId="46" fillId="0" borderId="80" xfId="0" applyNumberFormat="1" applyFont="1" applyBorder="1" applyAlignment="1">
      <alignment horizontal="center" vertical="center"/>
    </xf>
    <xf numFmtId="43" fontId="46" fillId="0" borderId="81" xfId="19" applyFont="1" applyBorder="1" applyAlignment="1">
      <alignment horizontal="center" vertical="center"/>
    </xf>
    <xf numFmtId="0" fontId="46" fillId="0" borderId="80" xfId="0" applyFont="1" applyBorder="1" applyAlignment="1">
      <alignment horizontal="center" vertical="center"/>
    </xf>
    <xf numFmtId="0" fontId="46" fillId="0" borderId="82" xfId="0" applyFont="1" applyBorder="1" applyAlignment="1">
      <alignment horizontal="center" vertical="center"/>
    </xf>
    <xf numFmtId="0" fontId="46" fillId="0" borderId="83" xfId="0" applyFont="1" applyBorder="1">
      <alignment vertical="center"/>
    </xf>
    <xf numFmtId="43" fontId="46" fillId="0" borderId="83" xfId="19" applyFont="1" applyBorder="1" applyAlignment="1">
      <alignment horizontal="center" vertical="center"/>
    </xf>
    <xf numFmtId="0" fontId="46" fillId="0" borderId="83" xfId="0" applyFont="1" applyBorder="1" applyAlignment="1">
      <alignment horizontal="center" vertical="center"/>
    </xf>
    <xf numFmtId="43" fontId="46" fillId="0" borderId="84" xfId="19" applyFont="1" applyBorder="1" applyAlignment="1">
      <alignment horizontal="center" vertical="center"/>
    </xf>
    <xf numFmtId="0" fontId="53" fillId="35" borderId="77" xfId="0" applyFont="1" applyFill="1" applyBorder="1" applyAlignment="1">
      <alignment horizontal="center" vertical="center"/>
    </xf>
    <xf numFmtId="0" fontId="53" fillId="35" borderId="78" xfId="0" applyFont="1" applyFill="1" applyBorder="1" applyAlignment="1">
      <alignment horizontal="center" vertical="center"/>
    </xf>
    <xf numFmtId="43" fontId="53" fillId="35" borderId="78" xfId="19" applyFont="1" applyFill="1" applyBorder="1" applyAlignment="1">
      <alignment horizontal="center" vertical="center"/>
    </xf>
    <xf numFmtId="43" fontId="53" fillId="35" borderId="79" xfId="19" applyFont="1" applyFill="1" applyBorder="1" applyAlignment="1">
      <alignment horizontal="center" vertical="center"/>
    </xf>
    <xf numFmtId="43" fontId="26" fillId="0" borderId="0" xfId="0" applyNumberFormat="1" applyFont="1" applyAlignment="1">
      <alignment horizontal="center" vertical="center"/>
    </xf>
    <xf numFmtId="0" fontId="0" fillId="66" borderId="24" xfId="0" applyFill="1" applyBorder="1" applyAlignment="1">
      <alignment horizontal="center" vertical="center"/>
    </xf>
    <xf numFmtId="0" fontId="0" fillId="66" borderId="18" xfId="0" applyFill="1" applyBorder="1" applyAlignment="1">
      <alignment horizontal="center" vertical="center"/>
    </xf>
    <xf numFmtId="43" fontId="28" fillId="43" borderId="0" xfId="19" applyFont="1" applyFill="1" applyAlignment="1">
      <alignment vertical="center"/>
    </xf>
    <xf numFmtId="168" fontId="0" fillId="0" borderId="0" xfId="19" applyNumberFormat="1" applyFont="1" applyBorder="1" applyAlignment="1">
      <alignment horizontal="center" vertical="center"/>
    </xf>
    <xf numFmtId="171" fontId="0" fillId="0" borderId="50" xfId="19" applyNumberFormat="1" applyFont="1" applyBorder="1" applyAlignment="1">
      <alignment vertical="center"/>
    </xf>
    <xf numFmtId="43" fontId="0" fillId="0" borderId="50" xfId="0" applyNumberFormat="1" applyBorder="1" applyAlignment="1">
      <alignment horizontal="center" vertical="center"/>
    </xf>
    <xf numFmtId="43" fontId="0" fillId="0" borderId="36" xfId="19" applyFont="1" applyFill="1" applyBorder="1" applyAlignment="1">
      <alignment horizontal="left" vertical="center"/>
    </xf>
    <xf numFmtId="0" fontId="0" fillId="0" borderId="0" xfId="0" quotePrefix="1" applyAlignment="1">
      <alignment horizontal="center" vertical="center"/>
    </xf>
    <xf numFmtId="0" fontId="6" fillId="0" borderId="0" xfId="0" applyFont="1" applyAlignment="1">
      <alignment horizontal="center" vertical="center"/>
    </xf>
    <xf numFmtId="0" fontId="6" fillId="0" borderId="36" xfId="0" applyFont="1" applyBorder="1" applyAlignment="1">
      <alignment horizontal="left" vertical="center"/>
    </xf>
    <xf numFmtId="0" fontId="6" fillId="0" borderId="33" xfId="0" applyFont="1" applyBorder="1" applyAlignment="1">
      <alignment horizontal="center" vertical="center"/>
    </xf>
    <xf numFmtId="0" fontId="54" fillId="0" borderId="27" xfId="0" applyFont="1" applyBorder="1">
      <alignment vertical="center"/>
    </xf>
    <xf numFmtId="0" fontId="25" fillId="0" borderId="0" xfId="0" applyFont="1">
      <alignment vertical="center"/>
    </xf>
    <xf numFmtId="0" fontId="28" fillId="38" borderId="0" xfId="0" applyFont="1" applyFill="1" applyAlignment="1">
      <alignment horizontal="left" vertical="center"/>
    </xf>
    <xf numFmtId="0" fontId="20" fillId="52" borderId="0" xfId="0" applyFont="1" applyFill="1" applyAlignment="1">
      <alignment horizontal="center" vertical="center"/>
    </xf>
    <xf numFmtId="0" fontId="0" fillId="52" borderId="0" xfId="0" applyFill="1" applyAlignment="1">
      <alignment horizontal="center" vertical="center"/>
    </xf>
    <xf numFmtId="0" fontId="26" fillId="52" borderId="0" xfId="0" applyFont="1" applyFill="1" applyAlignment="1">
      <alignment horizontal="center" vertical="center"/>
    </xf>
    <xf numFmtId="9" fontId="0" fillId="52" borderId="0" xfId="23" applyFont="1" applyFill="1" applyAlignment="1">
      <alignment horizontal="center" vertical="center"/>
    </xf>
    <xf numFmtId="9" fontId="0" fillId="52" borderId="0" xfId="23" applyFont="1" applyFill="1" applyBorder="1" applyAlignment="1">
      <alignment horizontal="center" vertical="center"/>
    </xf>
    <xf numFmtId="0" fontId="44" fillId="48" borderId="0" xfId="0" applyFont="1" applyFill="1" applyAlignment="1">
      <alignment vertical="center" wrapText="1"/>
    </xf>
    <xf numFmtId="0" fontId="56" fillId="38" borderId="0" xfId="0" applyFont="1" applyFill="1">
      <alignment vertical="center"/>
    </xf>
    <xf numFmtId="0" fontId="0" fillId="43" borderId="89" xfId="0" applyFill="1" applyBorder="1">
      <alignment vertical="center"/>
    </xf>
    <xf numFmtId="0" fontId="29" fillId="43" borderId="91" xfId="0" applyFont="1" applyFill="1" applyBorder="1" applyAlignment="1">
      <alignment vertical="center" wrapText="1"/>
    </xf>
    <xf numFmtId="0" fontId="28" fillId="43" borderId="91" xfId="0" applyFont="1" applyFill="1" applyBorder="1">
      <alignment vertical="center"/>
    </xf>
    <xf numFmtId="0" fontId="0" fillId="43" borderId="94" xfId="0" applyFill="1" applyBorder="1">
      <alignment vertical="center"/>
    </xf>
    <xf numFmtId="0" fontId="0" fillId="43" borderId="87" xfId="0" applyFill="1" applyBorder="1">
      <alignment vertical="center"/>
    </xf>
    <xf numFmtId="0" fontId="0" fillId="43" borderId="88" xfId="0" applyFill="1" applyBorder="1">
      <alignment vertical="center"/>
    </xf>
    <xf numFmtId="0" fontId="0" fillId="43" borderId="90" xfId="0" applyFill="1" applyBorder="1">
      <alignment vertical="center"/>
    </xf>
    <xf numFmtId="0" fontId="0" fillId="43" borderId="0" xfId="0" applyFill="1">
      <alignment vertical="center"/>
    </xf>
    <xf numFmtId="0" fontId="29" fillId="43" borderId="0" xfId="0" applyFont="1" applyFill="1">
      <alignment vertical="center"/>
    </xf>
    <xf numFmtId="0" fontId="0" fillId="43" borderId="92" xfId="0" applyFill="1" applyBorder="1">
      <alignment vertical="center"/>
    </xf>
    <xf numFmtId="0" fontId="0" fillId="43" borderId="93" xfId="0" applyFill="1" applyBorder="1">
      <alignment vertical="center"/>
    </xf>
    <xf numFmtId="0" fontId="0" fillId="38" borderId="95" xfId="0" applyFill="1" applyBorder="1">
      <alignment vertical="center"/>
    </xf>
    <xf numFmtId="0" fontId="56" fillId="38" borderId="40" xfId="0" applyFont="1" applyFill="1" applyBorder="1">
      <alignment vertical="center"/>
    </xf>
    <xf numFmtId="0" fontId="22" fillId="2" borderId="0" xfId="11" applyFont="1" applyFill="1" applyBorder="1" applyAlignment="1">
      <alignment horizontal="left" vertical="center"/>
    </xf>
    <xf numFmtId="0" fontId="22" fillId="2" borderId="0" xfId="0" applyFont="1" applyFill="1">
      <alignment vertical="center"/>
    </xf>
    <xf numFmtId="0" fontId="22" fillId="0" borderId="97" xfId="0" applyFont="1" applyBorder="1">
      <alignment vertical="center"/>
    </xf>
    <xf numFmtId="0" fontId="1" fillId="2" borderId="97" xfId="0" applyFont="1" applyFill="1" applyBorder="1">
      <alignment vertical="center"/>
    </xf>
    <xf numFmtId="0" fontId="22" fillId="0" borderId="97" xfId="11" applyFont="1" applyFill="1" applyBorder="1" applyAlignment="1">
      <alignment horizontal="left" vertical="center"/>
    </xf>
    <xf numFmtId="0" fontId="56" fillId="38" borderId="0" xfId="0" applyFont="1" applyFill="1" applyAlignment="1">
      <alignment horizontal="left" vertical="center"/>
    </xf>
    <xf numFmtId="0" fontId="32" fillId="38" borderId="42" xfId="0" applyFont="1" applyFill="1" applyBorder="1" applyAlignment="1">
      <alignment horizontal="center" vertical="center" wrapText="1"/>
    </xf>
    <xf numFmtId="0" fontId="8" fillId="0" borderId="19" xfId="57" applyBorder="1" applyAlignment="1">
      <alignment horizontal="left" vertical="center" wrapText="1"/>
    </xf>
    <xf numFmtId="0" fontId="26" fillId="0" borderId="17" xfId="0" applyFont="1" applyBorder="1">
      <alignment vertical="center"/>
    </xf>
    <xf numFmtId="0" fontId="20" fillId="0" borderId="17" xfId="0" applyFont="1" applyBorder="1" applyAlignment="1">
      <alignment horizontal="left" vertical="center"/>
    </xf>
    <xf numFmtId="43" fontId="0" fillId="0" borderId="18" xfId="19" applyFont="1" applyBorder="1" applyAlignment="1">
      <alignment vertical="center"/>
    </xf>
    <xf numFmtId="0" fontId="26" fillId="0" borderId="0" xfId="0" applyFont="1" applyAlignment="1">
      <alignment horizontal="right" vertical="center"/>
    </xf>
    <xf numFmtId="0" fontId="29" fillId="0" borderId="36" xfId="0" applyFont="1" applyBorder="1">
      <alignment vertical="center"/>
    </xf>
    <xf numFmtId="172" fontId="26" fillId="0" borderId="50" xfId="0" applyNumberFormat="1" applyFont="1" applyBorder="1" applyAlignment="1">
      <alignment horizontal="center" vertical="center"/>
    </xf>
    <xf numFmtId="43" fontId="0" fillId="0" borderId="0" xfId="19" applyFont="1" applyBorder="1" applyAlignment="1">
      <alignment vertical="center"/>
    </xf>
    <xf numFmtId="0" fontId="58" fillId="47" borderId="0" xfId="0" applyFont="1" applyFill="1" applyAlignment="1">
      <alignment horizontal="center" vertical="center"/>
    </xf>
    <xf numFmtId="0" fontId="29" fillId="47" borderId="36" xfId="0" applyFont="1" applyFill="1" applyBorder="1" applyAlignment="1">
      <alignment horizontal="center" vertical="center"/>
    </xf>
    <xf numFmtId="0" fontId="36" fillId="0" borderId="18" xfId="0" applyFont="1" applyBorder="1" applyAlignment="1">
      <alignment horizontal="center" vertical="center"/>
    </xf>
    <xf numFmtId="0" fontId="59" fillId="0" borderId="24" xfId="0" applyFont="1" applyBorder="1" applyAlignment="1">
      <alignment horizontal="center" vertical="center"/>
    </xf>
    <xf numFmtId="0" fontId="0" fillId="0" borderId="37" xfId="0" applyBorder="1">
      <alignment vertical="center"/>
    </xf>
    <xf numFmtId="43" fontId="0" fillId="0" borderId="33" xfId="19" applyFont="1" applyBorder="1" applyAlignment="1">
      <alignment horizontal="center" vertical="center"/>
    </xf>
    <xf numFmtId="43" fontId="0" fillId="66" borderId="33" xfId="19" applyFont="1" applyFill="1" applyBorder="1" applyAlignment="1">
      <alignment horizontal="center" vertical="center"/>
    </xf>
    <xf numFmtId="0" fontId="0" fillId="0" borderId="33" xfId="0" applyBorder="1">
      <alignment vertical="center"/>
    </xf>
    <xf numFmtId="172" fontId="26" fillId="0" borderId="0" xfId="0" applyNumberFormat="1" applyFont="1" applyAlignment="1">
      <alignment horizontal="center" vertical="center"/>
    </xf>
    <xf numFmtId="0" fontId="43" fillId="47" borderId="0" xfId="0" applyFont="1" applyFill="1" applyAlignment="1">
      <alignment horizontal="center" vertical="center"/>
    </xf>
    <xf numFmtId="0" fontId="59" fillId="66" borderId="24" xfId="0" applyFont="1" applyFill="1" applyBorder="1" applyAlignment="1">
      <alignment horizontal="center" vertical="center"/>
    </xf>
    <xf numFmtId="0" fontId="26" fillId="66" borderId="0" xfId="0" applyFont="1" applyFill="1" applyAlignment="1">
      <alignment horizontal="right" vertical="center"/>
    </xf>
    <xf numFmtId="43" fontId="0" fillId="0" borderId="37" xfId="19" applyFont="1" applyBorder="1" applyAlignment="1">
      <alignment vertical="center"/>
    </xf>
    <xf numFmtId="0" fontId="0" fillId="0" borderId="27" xfId="0" applyBorder="1" applyAlignment="1">
      <alignment horizontal="left" vertical="center"/>
    </xf>
    <xf numFmtId="0" fontId="0" fillId="43" borderId="99" xfId="0" applyFill="1" applyBorder="1">
      <alignment vertical="center"/>
    </xf>
    <xf numFmtId="0" fontId="0" fillId="43" borderId="100" xfId="0" applyFill="1" applyBorder="1">
      <alignment vertical="center"/>
    </xf>
    <xf numFmtId="0" fontId="0" fillId="43" borderId="101" xfId="0" applyFill="1" applyBorder="1">
      <alignment vertical="center"/>
    </xf>
    <xf numFmtId="0" fontId="0" fillId="43" borderId="102" xfId="0" applyFill="1" applyBorder="1">
      <alignment vertical="center"/>
    </xf>
    <xf numFmtId="0" fontId="29" fillId="43" borderId="103" xfId="0" applyFont="1" applyFill="1" applyBorder="1" applyAlignment="1">
      <alignment vertical="center" wrapText="1"/>
    </xf>
    <xf numFmtId="0" fontId="28" fillId="43" borderId="103" xfId="0" applyFont="1" applyFill="1" applyBorder="1">
      <alignment vertical="center"/>
    </xf>
    <xf numFmtId="0" fontId="0" fillId="43" borderId="104" xfId="0" applyFill="1" applyBorder="1">
      <alignment vertical="center"/>
    </xf>
    <xf numFmtId="0" fontId="0" fillId="43" borderId="105" xfId="0" applyFill="1" applyBorder="1">
      <alignment vertical="center"/>
    </xf>
    <xf numFmtId="0" fontId="0" fillId="43" borderId="106" xfId="0" applyFill="1" applyBorder="1">
      <alignment vertical="center"/>
    </xf>
    <xf numFmtId="0" fontId="29" fillId="47" borderId="36" xfId="0" applyFont="1" applyFill="1" applyBorder="1" applyAlignment="1">
      <alignment horizontal="left" vertical="center"/>
    </xf>
    <xf numFmtId="0" fontId="57" fillId="38" borderId="0" xfId="0" applyFont="1" applyFill="1">
      <alignment vertical="center"/>
    </xf>
    <xf numFmtId="0" fontId="56" fillId="38" borderId="0" xfId="0" applyFont="1" applyFill="1" applyAlignment="1">
      <alignment vertical="center" wrapText="1"/>
    </xf>
    <xf numFmtId="43" fontId="28" fillId="43" borderId="71" xfId="19" applyFont="1" applyFill="1" applyBorder="1" applyAlignment="1">
      <alignment vertical="center"/>
    </xf>
    <xf numFmtId="0" fontId="28" fillId="38" borderId="0" xfId="0" applyFont="1" applyFill="1" applyAlignment="1">
      <alignment vertical="center" wrapText="1"/>
    </xf>
    <xf numFmtId="0" fontId="20" fillId="61" borderId="19" xfId="57" applyFont="1" applyFill="1" applyBorder="1" applyAlignment="1">
      <alignment horizontal="center" vertical="center" wrapText="1" shrinkToFit="1"/>
    </xf>
    <xf numFmtId="0" fontId="20" fillId="61" borderId="19" xfId="57" applyFont="1" applyFill="1" applyBorder="1" applyAlignment="1">
      <alignment horizontal="center" vertical="center" wrapText="1"/>
    </xf>
    <xf numFmtId="49" fontId="20" fillId="61" borderId="19" xfId="57" quotePrefix="1" applyNumberFormat="1" applyFont="1" applyFill="1" applyBorder="1" applyAlignment="1">
      <alignment horizontal="center" vertical="center" wrapText="1"/>
    </xf>
    <xf numFmtId="0" fontId="20" fillId="67" borderId="19" xfId="57" applyFont="1" applyFill="1" applyBorder="1" applyAlignment="1">
      <alignment horizontal="center" vertical="center" wrapText="1" shrinkToFit="1"/>
    </xf>
    <xf numFmtId="0" fontId="20" fillId="67" borderId="19" xfId="57" applyFont="1" applyFill="1" applyBorder="1" applyAlignment="1">
      <alignment horizontal="center" vertical="center" wrapText="1"/>
    </xf>
    <xf numFmtId="49" fontId="20" fillId="67" borderId="19" xfId="57" quotePrefix="1" applyNumberFormat="1" applyFont="1" applyFill="1" applyBorder="1" applyAlignment="1">
      <alignment horizontal="center" vertical="center" wrapText="1"/>
    </xf>
    <xf numFmtId="0" fontId="56" fillId="38" borderId="42" xfId="0" applyFont="1" applyFill="1" applyBorder="1">
      <alignment vertical="center"/>
    </xf>
    <xf numFmtId="0" fontId="8" fillId="54" borderId="20" xfId="57" applyFill="1" applyBorder="1" applyAlignment="1">
      <alignment vertical="center"/>
    </xf>
    <xf numFmtId="0" fontId="8" fillId="54" borderId="22" xfId="57" applyFill="1" applyBorder="1" applyAlignment="1">
      <alignment vertical="center"/>
    </xf>
    <xf numFmtId="0" fontId="8" fillId="0" borderId="0" xfId="57" applyAlignment="1">
      <alignment horizontal="left" vertical="center" wrapText="1"/>
    </xf>
    <xf numFmtId="0" fontId="1" fillId="44" borderId="19" xfId="57" applyFont="1" applyFill="1" applyBorder="1" applyAlignment="1">
      <alignment horizontal="center" vertical="center" wrapText="1" shrinkToFit="1"/>
    </xf>
    <xf numFmtId="0" fontId="20" fillId="61" borderId="19" xfId="57" applyFont="1" applyFill="1" applyBorder="1" applyAlignment="1">
      <alignment vertical="center"/>
    </xf>
    <xf numFmtId="0" fontId="8" fillId="0" borderId="19" xfId="57" applyBorder="1" applyAlignment="1">
      <alignment horizontal="center" vertical="center" wrapText="1"/>
    </xf>
    <xf numFmtId="0" fontId="1" fillId="55" borderId="0" xfId="57" applyFont="1" applyFill="1" applyAlignment="1">
      <alignment vertical="center" wrapText="1" shrinkToFit="1"/>
    </xf>
    <xf numFmtId="0" fontId="1" fillId="55" borderId="0" xfId="57" applyFont="1" applyFill="1" applyAlignment="1">
      <alignment horizontal="center" vertical="center" wrapText="1" shrinkToFit="1"/>
    </xf>
    <xf numFmtId="0" fontId="8" fillId="45" borderId="19" xfId="57" applyFill="1" applyBorder="1" applyAlignment="1">
      <alignment vertical="center"/>
    </xf>
    <xf numFmtId="2" fontId="8" fillId="45" borderId="19" xfId="57" applyNumberFormat="1" applyFill="1" applyBorder="1" applyAlignment="1">
      <alignment vertical="center"/>
    </xf>
    <xf numFmtId="173" fontId="8" fillId="45" borderId="19" xfId="57" applyNumberFormat="1" applyFill="1" applyBorder="1" applyAlignment="1">
      <alignment vertical="center" wrapText="1"/>
    </xf>
    <xf numFmtId="0" fontId="8" fillId="45" borderId="19" xfId="57" applyFill="1" applyBorder="1" applyAlignment="1">
      <alignment vertical="center" wrapText="1"/>
    </xf>
    <xf numFmtId="2" fontId="8" fillId="45" borderId="19" xfId="57" applyNumberFormat="1" applyFill="1" applyBorder="1" applyAlignment="1">
      <alignment horizontal="right" vertical="center"/>
    </xf>
    <xf numFmtId="173" fontId="8" fillId="45" borderId="19" xfId="57" applyNumberFormat="1" applyFill="1" applyBorder="1" applyAlignment="1">
      <alignment horizontal="right" vertical="center" wrapText="1"/>
    </xf>
    <xf numFmtId="2" fontId="20" fillId="45" borderId="19" xfId="57" applyNumberFormat="1" applyFont="1" applyFill="1" applyBorder="1" applyAlignment="1">
      <alignment vertical="center"/>
    </xf>
    <xf numFmtId="0" fontId="20" fillId="45" borderId="19" xfId="57" applyFont="1" applyFill="1" applyBorder="1" applyAlignment="1">
      <alignment horizontal="center" vertical="center"/>
    </xf>
    <xf numFmtId="0" fontId="8" fillId="45" borderId="19" xfId="57" applyFill="1" applyBorder="1" applyAlignment="1">
      <alignment horizontal="right" vertical="center"/>
    </xf>
    <xf numFmtId="173" fontId="20" fillId="45" borderId="19" xfId="57" applyNumberFormat="1" applyFont="1" applyFill="1" applyBorder="1" applyAlignment="1">
      <alignment vertical="center"/>
    </xf>
    <xf numFmtId="0" fontId="20" fillId="45" borderId="19" xfId="57" applyFont="1" applyFill="1" applyBorder="1" applyAlignment="1">
      <alignment vertical="center"/>
    </xf>
    <xf numFmtId="0" fontId="8" fillId="54" borderId="27" xfId="57" applyFill="1" applyBorder="1" applyAlignment="1">
      <alignment vertical="center"/>
    </xf>
    <xf numFmtId="0" fontId="8" fillId="54" borderId="37" xfId="57" applyFill="1" applyBorder="1" applyAlignment="1">
      <alignment vertical="center"/>
    </xf>
    <xf numFmtId="0" fontId="8" fillId="67" borderId="19" xfId="57" applyFill="1" applyBorder="1" applyAlignment="1">
      <alignment horizontal="center" vertical="center" wrapText="1"/>
    </xf>
    <xf numFmtId="0" fontId="8" fillId="67" borderId="19" xfId="57" applyFill="1" applyBorder="1" applyAlignment="1">
      <alignment vertical="center"/>
    </xf>
    <xf numFmtId="173" fontId="8" fillId="45" borderId="19" xfId="57" applyNumberFormat="1" applyFill="1" applyBorder="1" applyAlignment="1">
      <alignment vertical="center"/>
    </xf>
    <xf numFmtId="0" fontId="20" fillId="45" borderId="19" xfId="57" applyFont="1" applyFill="1" applyBorder="1" applyAlignment="1">
      <alignment vertical="center" wrapText="1"/>
    </xf>
    <xf numFmtId="0" fontId="20" fillId="0" borderId="19" xfId="57" applyFont="1" applyBorder="1" applyAlignment="1">
      <alignment vertical="center"/>
    </xf>
    <xf numFmtId="0" fontId="20" fillId="0" borderId="19" xfId="57" applyFont="1" applyBorder="1" applyAlignment="1">
      <alignment horizontal="center" vertical="center"/>
    </xf>
    <xf numFmtId="0" fontId="0" fillId="45" borderId="0" xfId="0" applyFill="1">
      <alignment vertical="center"/>
    </xf>
    <xf numFmtId="0" fontId="29" fillId="45" borderId="0" xfId="0" applyFont="1" applyFill="1">
      <alignment vertical="center"/>
    </xf>
    <xf numFmtId="0" fontId="28" fillId="45" borderId="0" xfId="0" applyFont="1" applyFill="1">
      <alignment vertical="center"/>
    </xf>
    <xf numFmtId="0" fontId="0" fillId="45" borderId="123" xfId="0" applyFill="1" applyBorder="1">
      <alignment vertical="center"/>
    </xf>
    <xf numFmtId="0" fontId="0" fillId="45" borderId="124" xfId="0" applyFill="1" applyBorder="1">
      <alignment vertical="center"/>
    </xf>
    <xf numFmtId="0" fontId="0" fillId="45" borderId="125" xfId="0" applyFill="1" applyBorder="1">
      <alignment vertical="center"/>
    </xf>
    <xf numFmtId="0" fontId="0" fillId="45" borderId="126" xfId="0" applyFill="1" applyBorder="1">
      <alignment vertical="center"/>
    </xf>
    <xf numFmtId="0" fontId="28" fillId="45" borderId="127" xfId="0" applyFont="1" applyFill="1" applyBorder="1">
      <alignment vertical="center"/>
    </xf>
    <xf numFmtId="0" fontId="0" fillId="45" borderId="128" xfId="0" applyFill="1" applyBorder="1">
      <alignment vertical="center"/>
    </xf>
    <xf numFmtId="0" fontId="0" fillId="45" borderId="129" xfId="0" applyFill="1" applyBorder="1">
      <alignment vertical="center"/>
    </xf>
    <xf numFmtId="0" fontId="0" fillId="45" borderId="130" xfId="0" applyFill="1" applyBorder="1">
      <alignment vertical="center"/>
    </xf>
    <xf numFmtId="0" fontId="0" fillId="45" borderId="127" xfId="0" applyFill="1" applyBorder="1">
      <alignment vertical="center"/>
    </xf>
    <xf numFmtId="0" fontId="29" fillId="38" borderId="0" xfId="0" applyFont="1" applyFill="1">
      <alignment vertical="center"/>
    </xf>
    <xf numFmtId="0" fontId="64" fillId="0" borderId="0" xfId="57" applyFont="1"/>
    <xf numFmtId="0" fontId="28" fillId="38" borderId="25" xfId="0" applyFont="1" applyFill="1" applyBorder="1" applyAlignment="1">
      <alignment vertical="center" wrapText="1"/>
    </xf>
    <xf numFmtId="0" fontId="28" fillId="38" borderId="25" xfId="0" applyFont="1" applyFill="1" applyBorder="1">
      <alignment vertical="center"/>
    </xf>
    <xf numFmtId="0" fontId="56" fillId="38" borderId="40" xfId="0" applyFont="1" applyFill="1" applyBorder="1" applyAlignment="1">
      <alignment vertical="center" wrapText="1"/>
    </xf>
    <xf numFmtId="0" fontId="45" fillId="0" borderId="0" xfId="0" applyFont="1" applyAlignment="1">
      <alignment horizontal="center" vertical="center"/>
    </xf>
    <xf numFmtId="43" fontId="0" fillId="66" borderId="0" xfId="0" applyNumberFormat="1" applyFill="1" applyAlignment="1">
      <alignment horizontal="right" vertical="center"/>
    </xf>
    <xf numFmtId="0" fontId="0" fillId="66" borderId="0" xfId="0" applyFill="1" applyAlignment="1">
      <alignment horizontal="right" vertical="center"/>
    </xf>
    <xf numFmtId="0" fontId="0" fillId="0" borderId="135" xfId="0" applyBorder="1" applyAlignment="1">
      <alignment horizontal="center" vertical="center"/>
    </xf>
    <xf numFmtId="0" fontId="0" fillId="0" borderId="136" xfId="0" applyBorder="1" applyAlignment="1">
      <alignment horizontal="center" vertical="center"/>
    </xf>
    <xf numFmtId="43" fontId="0" fillId="0" borderId="136" xfId="19" applyFont="1" applyFill="1" applyBorder="1" applyAlignment="1">
      <alignment horizontal="center" vertical="center"/>
    </xf>
    <xf numFmtId="43" fontId="0" fillId="0" borderId="136" xfId="0" applyNumberFormat="1" applyBorder="1" applyAlignment="1">
      <alignment horizontal="center" vertical="center"/>
    </xf>
    <xf numFmtId="43" fontId="0" fillId="0" borderId="137" xfId="19" applyFont="1" applyFill="1" applyBorder="1" applyAlignment="1">
      <alignment horizontal="center" vertical="center"/>
    </xf>
    <xf numFmtId="0" fontId="0" fillId="0" borderId="138" xfId="0" applyBorder="1" applyAlignment="1">
      <alignment horizontal="center" vertical="center"/>
    </xf>
    <xf numFmtId="43" fontId="0" fillId="0" borderId="139" xfId="19" applyFont="1" applyFill="1" applyBorder="1" applyAlignment="1">
      <alignment horizontal="center" vertical="center"/>
    </xf>
    <xf numFmtId="0" fontId="0" fillId="0" borderId="140" xfId="0" applyBorder="1">
      <alignment vertical="center"/>
    </xf>
    <xf numFmtId="0" fontId="0" fillId="0" borderId="141" xfId="0" applyBorder="1">
      <alignment vertical="center"/>
    </xf>
    <xf numFmtId="0" fontId="0" fillId="0" borderId="142" xfId="0" applyBorder="1">
      <alignment vertical="center"/>
    </xf>
    <xf numFmtId="0" fontId="0" fillId="0" borderId="135" xfId="0" applyBorder="1">
      <alignment vertical="center"/>
    </xf>
    <xf numFmtId="0" fontId="0" fillId="0" borderId="136" xfId="0" applyBorder="1">
      <alignment vertical="center"/>
    </xf>
    <xf numFmtId="0" fontId="0" fillId="0" borderId="137" xfId="0" applyBorder="1">
      <alignment vertical="center"/>
    </xf>
    <xf numFmtId="0" fontId="20" fillId="0" borderId="139" xfId="0" applyFont="1" applyBorder="1">
      <alignment vertical="center"/>
    </xf>
    <xf numFmtId="0" fontId="0" fillId="0" borderId="138" xfId="0" applyBorder="1">
      <alignment vertical="center"/>
    </xf>
    <xf numFmtId="0" fontId="0" fillId="0" borderId="139" xfId="0" applyBorder="1">
      <alignment vertical="center"/>
    </xf>
    <xf numFmtId="0" fontId="0" fillId="0" borderId="0" xfId="0" applyAlignment="1">
      <alignment horizontal="center" wrapText="1"/>
    </xf>
    <xf numFmtId="0" fontId="0" fillId="0" borderId="0" xfId="0" applyAlignment="1">
      <alignment horizontal="left" indent="1"/>
    </xf>
    <xf numFmtId="0" fontId="0" fillId="46" borderId="0" xfId="0" applyFill="1">
      <alignment vertical="center"/>
    </xf>
    <xf numFmtId="0" fontId="0" fillId="0" borderId="0" xfId="0" applyAlignment="1">
      <alignment horizontal="right" vertical="center"/>
    </xf>
    <xf numFmtId="43" fontId="0" fillId="0" borderId="0" xfId="0" applyNumberFormat="1">
      <alignment vertical="center"/>
    </xf>
    <xf numFmtId="9" fontId="0" fillId="0" borderId="0" xfId="0" applyNumberFormat="1">
      <alignment vertical="center"/>
    </xf>
    <xf numFmtId="0" fontId="52" fillId="0" borderId="0" xfId="0" applyFont="1" applyAlignment="1">
      <alignment horizontal="left" vertical="center"/>
    </xf>
    <xf numFmtId="0" fontId="52" fillId="0" borderId="0" xfId="0" applyFont="1">
      <alignment vertical="center"/>
    </xf>
    <xf numFmtId="0" fontId="20" fillId="52" borderId="136" xfId="0" applyFont="1" applyFill="1" applyBorder="1" applyAlignment="1">
      <alignment horizontal="center" vertical="center"/>
    </xf>
    <xf numFmtId="0" fontId="26" fillId="52" borderId="136" xfId="0" applyFont="1" applyFill="1" applyBorder="1" applyAlignment="1">
      <alignment horizontal="center" vertical="center"/>
    </xf>
    <xf numFmtId="0" fontId="25" fillId="0" borderId="53" xfId="0" applyFont="1" applyBorder="1">
      <alignment vertical="center"/>
    </xf>
    <xf numFmtId="0" fontId="25" fillId="0" borderId="144" xfId="0" applyFont="1" applyBorder="1">
      <alignment vertical="center"/>
    </xf>
    <xf numFmtId="0" fontId="0" fillId="0" borderId="137" xfId="0" applyBorder="1" applyAlignment="1">
      <alignment horizontal="center" vertical="center"/>
    </xf>
    <xf numFmtId="0" fontId="29" fillId="47" borderId="138" xfId="0" applyFont="1" applyFill="1" applyBorder="1">
      <alignment vertical="center"/>
    </xf>
    <xf numFmtId="43" fontId="0" fillId="47" borderId="139" xfId="0" applyNumberFormat="1" applyFill="1" applyBorder="1" applyAlignment="1">
      <alignment horizontal="center" vertical="center"/>
    </xf>
    <xf numFmtId="0" fontId="25" fillId="0" borderId="143" xfId="0" applyFont="1" applyBorder="1">
      <alignment vertical="center"/>
    </xf>
    <xf numFmtId="0" fontId="0" fillId="0" borderId="145" xfId="0" applyBorder="1" applyAlignment="1">
      <alignment horizontal="center" vertical="center"/>
    </xf>
    <xf numFmtId="0" fontId="20" fillId="0" borderId="138" xfId="0" applyFont="1" applyBorder="1" applyAlignment="1">
      <alignment horizontal="left" vertical="center"/>
    </xf>
    <xf numFmtId="43" fontId="8" fillId="0" borderId="139" xfId="19" applyFont="1" applyBorder="1" applyAlignment="1">
      <alignment horizontal="center" vertical="center"/>
    </xf>
    <xf numFmtId="0" fontId="26" fillId="0" borderId="139" xfId="0" applyFont="1" applyBorder="1" applyAlignment="1">
      <alignment horizontal="center" vertical="center"/>
    </xf>
    <xf numFmtId="0" fontId="0" fillId="0" borderId="139" xfId="0" applyBorder="1" applyAlignment="1">
      <alignment horizontal="center" vertical="center"/>
    </xf>
    <xf numFmtId="0" fontId="0" fillId="0" borderId="140" xfId="0" applyBorder="1" applyAlignment="1">
      <alignment horizontal="left" vertical="center"/>
    </xf>
    <xf numFmtId="0" fontId="26" fillId="0" borderId="141" xfId="0" applyFont="1" applyBorder="1" applyAlignment="1">
      <alignment horizontal="center" vertical="center"/>
    </xf>
    <xf numFmtId="0" fontId="0" fillId="0" borderId="142" xfId="0" applyBorder="1" applyAlignment="1">
      <alignment horizontal="center" vertical="center"/>
    </xf>
    <xf numFmtId="9" fontId="0" fillId="52" borderId="141" xfId="23" applyFont="1" applyFill="1" applyBorder="1" applyAlignment="1">
      <alignment horizontal="center" vertical="center"/>
    </xf>
    <xf numFmtId="0" fontId="0" fillId="38" borderId="13" xfId="0" applyFill="1" applyBorder="1">
      <alignment vertical="center"/>
    </xf>
    <xf numFmtId="0" fontId="1" fillId="2" borderId="146" xfId="0" applyFont="1" applyFill="1" applyBorder="1">
      <alignment vertical="center"/>
    </xf>
    <xf numFmtId="43" fontId="28" fillId="43" borderId="0" xfId="19" applyFont="1" applyFill="1" applyBorder="1" applyAlignment="1">
      <alignment vertical="center"/>
    </xf>
    <xf numFmtId="0" fontId="28" fillId="38" borderId="0" xfId="0" applyFont="1" applyFill="1" applyAlignment="1">
      <alignment horizontal="center" vertical="center" wrapText="1"/>
    </xf>
    <xf numFmtId="43" fontId="0" fillId="52" borderId="0" xfId="23" applyNumberFormat="1" applyFont="1" applyFill="1" applyAlignment="1">
      <alignment horizontal="center" vertical="center"/>
    </xf>
    <xf numFmtId="43" fontId="0" fillId="52" borderId="0" xfId="19" applyFont="1" applyFill="1" applyAlignment="1">
      <alignment horizontal="center" vertical="center"/>
    </xf>
    <xf numFmtId="43" fontId="0" fillId="52" borderId="0" xfId="19" applyFont="1" applyFill="1" applyBorder="1" applyAlignment="1">
      <alignment horizontal="center" vertical="center"/>
    </xf>
    <xf numFmtId="171" fontId="0" fillId="52" borderId="0" xfId="19" applyNumberFormat="1" applyFont="1" applyFill="1" applyAlignment="1">
      <alignment horizontal="center" vertical="center"/>
    </xf>
    <xf numFmtId="171" fontId="0" fillId="52" borderId="0" xfId="19" applyNumberFormat="1" applyFont="1" applyFill="1" applyBorder="1" applyAlignment="1">
      <alignment horizontal="center" vertical="center"/>
    </xf>
    <xf numFmtId="43" fontId="0" fillId="52" borderId="141" xfId="19" applyFont="1" applyFill="1" applyBorder="1" applyAlignment="1">
      <alignment horizontal="center" vertical="center"/>
    </xf>
    <xf numFmtId="0" fontId="22" fillId="0" borderId="97" xfId="11" applyFont="1" applyBorder="1" applyAlignment="1">
      <alignment horizontal="left" vertical="center"/>
    </xf>
    <xf numFmtId="43" fontId="34" fillId="43" borderId="0" xfId="19" applyFont="1" applyFill="1" applyAlignment="1">
      <alignment vertical="center"/>
    </xf>
    <xf numFmtId="43" fontId="28" fillId="0" borderId="0" xfId="19" applyFont="1" applyAlignment="1">
      <alignment vertical="center"/>
    </xf>
    <xf numFmtId="0" fontId="26" fillId="52" borderId="0" xfId="0" applyFont="1" applyFill="1" applyAlignment="1">
      <alignment horizontal="center" vertical="center" wrapText="1"/>
    </xf>
    <xf numFmtId="0" fontId="26" fillId="0" borderId="17" xfId="0" applyFont="1" applyBorder="1" applyAlignment="1">
      <alignment horizontal="center" vertical="center" wrapText="1"/>
    </xf>
    <xf numFmtId="43" fontId="0" fillId="0" borderId="37" xfId="19" applyFont="1" applyBorder="1" applyAlignment="1">
      <alignment horizontal="center" vertical="center"/>
    </xf>
    <xf numFmtId="43" fontId="34" fillId="43" borderId="13" xfId="19" applyFont="1" applyFill="1" applyBorder="1" applyAlignment="1">
      <alignment horizontal="center" vertical="center"/>
    </xf>
    <xf numFmtId="43" fontId="0" fillId="38" borderId="0" xfId="19" applyFont="1" applyFill="1" applyAlignment="1">
      <alignment vertical="center"/>
    </xf>
    <xf numFmtId="0" fontId="57" fillId="38" borderId="42" xfId="0" applyFont="1" applyFill="1" applyBorder="1">
      <alignment vertical="center"/>
    </xf>
    <xf numFmtId="2" fontId="34" fillId="45" borderId="42" xfId="0" applyNumberFormat="1" applyFont="1" applyFill="1" applyBorder="1" applyAlignment="1">
      <alignment horizontal="center" vertical="center"/>
    </xf>
    <xf numFmtId="2" fontId="34" fillId="61" borderId="42" xfId="0" applyNumberFormat="1" applyFont="1" applyFill="1" applyBorder="1" applyAlignment="1">
      <alignment horizontal="center" vertical="center"/>
    </xf>
    <xf numFmtId="0" fontId="34" fillId="61" borderId="42" xfId="0" applyFont="1" applyFill="1" applyBorder="1" applyAlignment="1">
      <alignment horizontal="center" vertical="center"/>
    </xf>
    <xf numFmtId="2" fontId="34" fillId="75" borderId="42" xfId="0" applyNumberFormat="1" applyFont="1" applyFill="1" applyBorder="1" applyAlignment="1">
      <alignment horizontal="center" vertical="center"/>
    </xf>
    <xf numFmtId="0" fontId="22" fillId="2" borderId="0" xfId="11" applyFont="1" applyFill="1" applyBorder="1" applyAlignment="1" applyProtection="1">
      <alignment horizontal="left" vertical="center"/>
    </xf>
    <xf numFmtId="0" fontId="22" fillId="0" borderId="0" xfId="11" applyFont="1" applyBorder="1" applyAlignment="1" applyProtection="1">
      <alignment horizontal="left" vertical="center"/>
    </xf>
    <xf numFmtId="43" fontId="28" fillId="47" borderId="40" xfId="19" applyFont="1" applyFill="1" applyBorder="1" applyAlignment="1" applyProtection="1">
      <alignment horizontal="center" vertical="center"/>
    </xf>
    <xf numFmtId="43" fontId="28" fillId="40" borderId="40" xfId="19" applyFont="1" applyFill="1" applyBorder="1" applyAlignment="1" applyProtection="1">
      <alignment horizontal="center" vertical="center"/>
    </xf>
    <xf numFmtId="43" fontId="28" fillId="63" borderId="40" xfId="19" applyFont="1" applyFill="1" applyBorder="1" applyAlignment="1" applyProtection="1">
      <alignment horizontal="center" vertical="center"/>
    </xf>
    <xf numFmtId="0" fontId="34" fillId="73" borderId="42" xfId="0" applyFont="1" applyFill="1" applyBorder="1" applyAlignment="1">
      <alignment horizontal="center" vertical="center" wrapText="1"/>
    </xf>
    <xf numFmtId="0" fontId="34" fillId="43" borderId="0" xfId="0" applyFont="1" applyFill="1">
      <alignment vertical="center"/>
    </xf>
    <xf numFmtId="43" fontId="32" fillId="43" borderId="0" xfId="19" applyFont="1" applyFill="1" applyAlignment="1">
      <alignment vertical="center"/>
    </xf>
    <xf numFmtId="0" fontId="28" fillId="73" borderId="42" xfId="0" applyFont="1" applyFill="1" applyBorder="1" applyAlignment="1">
      <alignment horizontal="center" vertical="center" wrapText="1"/>
    </xf>
    <xf numFmtId="0" fontId="0" fillId="0" borderId="0" xfId="0" applyAlignment="1">
      <alignment vertical="center" shrinkToFit="1"/>
    </xf>
    <xf numFmtId="0" fontId="8" fillId="0" borderId="19" xfId="57" applyBorder="1" applyAlignment="1">
      <alignment horizontal="right"/>
    </xf>
    <xf numFmtId="0" fontId="0" fillId="35" borderId="0" xfId="0" applyFill="1">
      <alignment vertical="center"/>
    </xf>
    <xf numFmtId="0" fontId="0" fillId="34" borderId="0" xfId="0" applyFill="1">
      <alignment vertical="center"/>
    </xf>
    <xf numFmtId="0" fontId="51" fillId="38" borderId="0" xfId="0" applyFont="1" applyFill="1">
      <alignment vertical="center"/>
    </xf>
    <xf numFmtId="0" fontId="29" fillId="38" borderId="0" xfId="0" applyFont="1" applyFill="1" applyAlignment="1">
      <alignment vertical="justify" wrapText="1"/>
    </xf>
    <xf numFmtId="0" fontId="0" fillId="45" borderId="115" xfId="0" applyFill="1" applyBorder="1">
      <alignment vertical="center"/>
    </xf>
    <xf numFmtId="0" fontId="0" fillId="45" borderId="116" xfId="0" applyFill="1" applyBorder="1">
      <alignment vertical="center"/>
    </xf>
    <xf numFmtId="0" fontId="0" fillId="45" borderId="117" xfId="0" applyFill="1" applyBorder="1">
      <alignment vertical="center"/>
    </xf>
    <xf numFmtId="0" fontId="0" fillId="45" borderId="118" xfId="0" applyFill="1" applyBorder="1">
      <alignment vertical="center"/>
    </xf>
    <xf numFmtId="0" fontId="57" fillId="38" borderId="0" xfId="0" applyFont="1" applyFill="1" applyAlignment="1">
      <alignment vertical="top"/>
    </xf>
    <xf numFmtId="0" fontId="30" fillId="45" borderId="119" xfId="0" applyFont="1" applyFill="1" applyBorder="1" applyAlignment="1">
      <alignment horizontal="left" vertical="center" wrapText="1"/>
    </xf>
    <xf numFmtId="0" fontId="0" fillId="45" borderId="119" xfId="0" applyFill="1" applyBorder="1">
      <alignment vertical="center"/>
    </xf>
    <xf numFmtId="0" fontId="0" fillId="45" borderId="120" xfId="0" applyFill="1" applyBorder="1">
      <alignment vertical="center"/>
    </xf>
    <xf numFmtId="0" fontId="0" fillId="45" borderId="121" xfId="0" applyFill="1" applyBorder="1">
      <alignment vertical="center"/>
    </xf>
    <xf numFmtId="0" fontId="0" fillId="45" borderId="122" xfId="0" applyFill="1" applyBorder="1">
      <alignment vertical="center"/>
    </xf>
    <xf numFmtId="0" fontId="57" fillId="38" borderId="0" xfId="0" applyFont="1" applyFill="1" applyAlignment="1">
      <alignment horizontal="center" vertical="center"/>
    </xf>
    <xf numFmtId="0" fontId="28" fillId="45" borderId="119" xfId="0" applyFont="1" applyFill="1" applyBorder="1">
      <alignment vertical="center"/>
    </xf>
    <xf numFmtId="0" fontId="23" fillId="38" borderId="0" xfId="0" applyFont="1" applyFill="1">
      <alignment vertical="center"/>
    </xf>
    <xf numFmtId="43" fontId="28" fillId="73" borderId="13" xfId="19" applyFont="1" applyFill="1" applyBorder="1" applyAlignment="1" applyProtection="1">
      <alignment vertical="center"/>
      <protection locked="0"/>
    </xf>
    <xf numFmtId="43" fontId="28" fillId="73" borderId="40" xfId="19" applyFont="1" applyFill="1" applyBorder="1" applyAlignment="1" applyProtection="1">
      <alignment vertical="center"/>
      <protection locked="0"/>
    </xf>
    <xf numFmtId="0" fontId="0" fillId="38" borderId="0" xfId="0" applyFill="1" applyProtection="1">
      <alignment vertical="center"/>
      <protection locked="0"/>
    </xf>
    <xf numFmtId="0" fontId="34" fillId="73" borderId="85" xfId="0" applyFont="1" applyFill="1" applyBorder="1" applyProtection="1">
      <alignment vertical="center"/>
      <protection locked="0"/>
    </xf>
    <xf numFmtId="0" fontId="34" fillId="73" borderId="13" xfId="0" applyFont="1" applyFill="1" applyBorder="1" applyProtection="1">
      <alignment vertical="center"/>
      <protection locked="0"/>
    </xf>
    <xf numFmtId="0" fontId="34" fillId="73" borderId="13" xfId="0" applyFont="1" applyFill="1" applyBorder="1" applyAlignment="1" applyProtection="1">
      <alignment horizontal="center" vertical="center"/>
      <protection locked="0"/>
    </xf>
    <xf numFmtId="0" fontId="34" fillId="73" borderId="13" xfId="0" applyFont="1" applyFill="1" applyBorder="1" applyAlignment="1" applyProtection="1">
      <alignment horizontal="right" vertical="center"/>
      <protection locked="0"/>
    </xf>
    <xf numFmtId="0" fontId="34" fillId="73" borderId="40" xfId="0" applyFont="1" applyFill="1" applyBorder="1" applyAlignment="1" applyProtection="1">
      <alignment horizontal="center" vertical="center"/>
      <protection locked="0"/>
    </xf>
    <xf numFmtId="0" fontId="28" fillId="73" borderId="13" xfId="19" applyNumberFormat="1" applyFont="1" applyFill="1" applyBorder="1" applyAlignment="1" applyProtection="1">
      <alignment horizontal="center" vertical="center"/>
      <protection locked="0"/>
    </xf>
    <xf numFmtId="0" fontId="34" fillId="73" borderId="13" xfId="19" applyNumberFormat="1" applyFont="1" applyFill="1" applyBorder="1" applyAlignment="1" applyProtection="1">
      <alignment horizontal="center" vertical="center"/>
      <protection locked="0"/>
    </xf>
    <xf numFmtId="0" fontId="34" fillId="73" borderId="14" xfId="0" applyFont="1" applyFill="1" applyBorder="1" applyAlignment="1" applyProtection="1">
      <alignment horizontal="center" vertical="center"/>
      <protection locked="0"/>
    </xf>
    <xf numFmtId="0" fontId="34" fillId="73" borderId="16" xfId="19" applyNumberFormat="1" applyFont="1" applyFill="1" applyBorder="1" applyAlignment="1" applyProtection="1">
      <alignment horizontal="center" vertical="center"/>
      <protection locked="0"/>
    </xf>
    <xf numFmtId="0" fontId="34" fillId="73" borderId="0" xfId="19" applyNumberFormat="1" applyFont="1" applyFill="1" applyBorder="1" applyAlignment="1" applyProtection="1">
      <alignment horizontal="center" vertical="center"/>
      <protection locked="0"/>
    </xf>
    <xf numFmtId="0" fontId="28" fillId="73" borderId="40" xfId="19" applyNumberFormat="1" applyFont="1" applyFill="1" applyBorder="1" applyAlignment="1" applyProtection="1">
      <alignment horizontal="center" vertical="center"/>
      <protection locked="0"/>
    </xf>
    <xf numFmtId="0" fontId="57" fillId="73" borderId="0" xfId="0" applyFont="1" applyFill="1" applyProtection="1">
      <alignment vertical="center"/>
      <protection locked="0"/>
    </xf>
    <xf numFmtId="43" fontId="34" fillId="73" borderId="13" xfId="19" applyFont="1" applyFill="1" applyBorder="1" applyAlignment="1" applyProtection="1">
      <alignment horizontal="center" vertical="center" wrapText="1"/>
      <protection locked="0"/>
    </xf>
    <xf numFmtId="0" fontId="28" fillId="73" borderId="42" xfId="0" applyFont="1" applyFill="1" applyBorder="1" applyAlignment="1" applyProtection="1">
      <alignment horizontal="center" vertical="center" wrapText="1"/>
      <protection locked="0"/>
    </xf>
    <xf numFmtId="0" fontId="34" fillId="73" borderId="42" xfId="0" applyFont="1" applyFill="1" applyBorder="1" applyAlignment="1" applyProtection="1">
      <alignment horizontal="center" vertical="center" wrapText="1"/>
      <protection locked="0"/>
    </xf>
    <xf numFmtId="0" fontId="34" fillId="73" borderId="13" xfId="0" applyFont="1" applyFill="1" applyBorder="1" applyAlignment="1" applyProtection="1">
      <alignment horizontal="center" vertical="center" wrapText="1"/>
      <protection locked="0"/>
    </xf>
    <xf numFmtId="0" fontId="29" fillId="2" borderId="0" xfId="11" applyFont="1" applyFill="1" applyBorder="1" applyAlignment="1">
      <alignment horizontal="left" vertical="center"/>
    </xf>
    <xf numFmtId="0" fontId="56" fillId="73" borderId="13" xfId="0" applyFont="1" applyFill="1" applyBorder="1" applyProtection="1">
      <alignment vertical="center"/>
      <protection locked="0"/>
    </xf>
    <xf numFmtId="0" fontId="57" fillId="73" borderId="13" xfId="0" applyFont="1" applyFill="1" applyBorder="1" applyProtection="1">
      <alignment vertical="center"/>
      <protection locked="0"/>
    </xf>
    <xf numFmtId="168" fontId="28" fillId="73" borderId="13" xfId="19" applyNumberFormat="1" applyFont="1" applyFill="1" applyBorder="1" applyAlignment="1" applyProtection="1">
      <alignment vertical="center"/>
      <protection locked="0"/>
    </xf>
    <xf numFmtId="0" fontId="21" fillId="35" borderId="0" xfId="0" applyFont="1" applyFill="1" applyAlignment="1">
      <alignment horizontal="center" vertical="center"/>
    </xf>
    <xf numFmtId="43" fontId="28" fillId="40" borderId="0" xfId="19" applyFont="1" applyFill="1" applyBorder="1" applyAlignment="1" applyProtection="1">
      <alignment horizontal="center" vertical="center"/>
    </xf>
    <xf numFmtId="0" fontId="51" fillId="38" borderId="0" xfId="0" applyFont="1" applyFill="1" applyAlignment="1">
      <alignment horizontal="justify" vertical="center"/>
    </xf>
    <xf numFmtId="0" fontId="17" fillId="49" borderId="0" xfId="0" applyFont="1" applyFill="1" applyAlignment="1">
      <alignment horizontal="center" vertical="center"/>
    </xf>
    <xf numFmtId="0" fontId="22" fillId="40" borderId="28" xfId="0" applyFont="1" applyFill="1" applyBorder="1" applyAlignment="1">
      <alignment horizontal="left" vertical="center"/>
    </xf>
    <xf numFmtId="49" fontId="27" fillId="43" borderId="29" xfId="0" applyNumberFormat="1" applyFont="1" applyFill="1" applyBorder="1" applyAlignment="1">
      <alignment horizontal="justify" vertical="center" wrapText="1"/>
    </xf>
    <xf numFmtId="49" fontId="27" fillId="43" borderId="30" xfId="0" applyNumberFormat="1" applyFont="1" applyFill="1" applyBorder="1" applyAlignment="1">
      <alignment horizontal="justify" vertical="center" wrapText="1"/>
    </xf>
    <xf numFmtId="49" fontId="27" fillId="43" borderId="31" xfId="0" applyNumberFormat="1" applyFont="1" applyFill="1" applyBorder="1" applyAlignment="1">
      <alignment horizontal="justify" vertical="center" wrapText="1"/>
    </xf>
    <xf numFmtId="49" fontId="27" fillId="43" borderId="28" xfId="0" applyNumberFormat="1" applyFont="1" applyFill="1" applyBorder="1" applyAlignment="1">
      <alignment horizontal="justify" vertical="center" wrapText="1"/>
    </xf>
    <xf numFmtId="0" fontId="28" fillId="73" borderId="0" xfId="0" applyFont="1" applyFill="1" applyAlignment="1" applyProtection="1">
      <alignment horizontal="center" vertical="center"/>
      <protection locked="0"/>
    </xf>
    <xf numFmtId="0" fontId="29" fillId="45" borderId="0" xfId="0" applyFont="1" applyFill="1" applyAlignment="1">
      <alignment horizontal="left" vertical="center" wrapText="1"/>
    </xf>
    <xf numFmtId="0" fontId="29" fillId="45" borderId="119" xfId="0" applyFont="1" applyFill="1" applyBorder="1" applyAlignment="1">
      <alignment horizontal="left" vertical="center" wrapText="1"/>
    </xf>
    <xf numFmtId="0" fontId="30" fillId="45" borderId="119" xfId="0" applyFont="1" applyFill="1" applyBorder="1" applyAlignment="1">
      <alignment horizontal="left" vertical="center" wrapText="1"/>
    </xf>
    <xf numFmtId="0" fontId="51" fillId="38" borderId="0" xfId="0" applyFont="1" applyFill="1" applyAlignment="1">
      <alignment horizontal="justify" vertical="center" wrapText="1"/>
    </xf>
    <xf numFmtId="0" fontId="24" fillId="39" borderId="0" xfId="0" applyFont="1" applyFill="1" applyAlignment="1">
      <alignment horizontal="center" vertical="center"/>
    </xf>
    <xf numFmtId="0" fontId="27" fillId="43" borderId="28" xfId="0" applyFont="1" applyFill="1" applyBorder="1" applyAlignment="1">
      <alignment horizontal="justify" vertical="center"/>
    </xf>
    <xf numFmtId="49" fontId="27" fillId="43" borderId="28" xfId="0" applyNumberFormat="1" applyFont="1" applyFill="1" applyBorder="1" applyAlignment="1">
      <alignment horizontal="justify" vertical="center"/>
    </xf>
    <xf numFmtId="0" fontId="30" fillId="45" borderId="119" xfId="0" applyFont="1" applyFill="1" applyBorder="1" applyAlignment="1">
      <alignment horizontal="left" vertical="center"/>
    </xf>
    <xf numFmtId="0" fontId="0" fillId="39" borderId="0" xfId="0" applyFill="1" applyAlignment="1">
      <alignment horizontal="center" vertical="center"/>
    </xf>
    <xf numFmtId="49" fontId="27" fillId="43" borderId="29" xfId="0" applyNumberFormat="1" applyFont="1" applyFill="1" applyBorder="1" applyAlignment="1" applyProtection="1">
      <alignment horizontal="justify" vertical="center" wrapText="1"/>
      <protection locked="0"/>
    </xf>
    <xf numFmtId="49" fontId="27" fillId="43" borderId="30" xfId="0" applyNumberFormat="1" applyFont="1" applyFill="1" applyBorder="1" applyAlignment="1" applyProtection="1">
      <alignment horizontal="justify" vertical="center" wrapText="1"/>
      <protection locked="0"/>
    </xf>
    <xf numFmtId="49" fontId="27" fillId="43" borderId="31" xfId="0" applyNumberFormat="1" applyFont="1" applyFill="1" applyBorder="1" applyAlignment="1" applyProtection="1">
      <alignment horizontal="justify" vertical="center" wrapText="1"/>
      <protection locked="0"/>
    </xf>
    <xf numFmtId="0" fontId="24" fillId="39" borderId="96" xfId="0" applyFont="1" applyFill="1" applyBorder="1" applyAlignment="1">
      <alignment horizontal="center" vertical="center"/>
    </xf>
    <xf numFmtId="0" fontId="56" fillId="38" borderId="0" xfId="0" applyFont="1" applyFill="1" applyAlignment="1">
      <alignment horizontal="left" vertical="center" wrapText="1"/>
    </xf>
    <xf numFmtId="0" fontId="32" fillId="38" borderId="0" xfId="0" applyFont="1" applyFill="1" applyAlignment="1">
      <alignment horizontal="left" vertical="center" wrapText="1"/>
    </xf>
    <xf numFmtId="43" fontId="28" fillId="43" borderId="0" xfId="19" applyFont="1" applyFill="1" applyBorder="1" applyAlignment="1" applyProtection="1">
      <alignment horizontal="center" vertical="center"/>
    </xf>
    <xf numFmtId="43" fontId="51" fillId="73" borderId="13" xfId="19" applyFont="1" applyFill="1" applyBorder="1" applyAlignment="1" applyProtection="1">
      <alignment horizontal="center" vertical="center"/>
      <protection locked="0"/>
    </xf>
    <xf numFmtId="0" fontId="56" fillId="38" borderId="14" xfId="0" applyFont="1" applyFill="1" applyBorder="1" applyAlignment="1">
      <alignment horizontal="left" vertical="center" wrapText="1"/>
    </xf>
    <xf numFmtId="0" fontId="56" fillId="38" borderId="16" xfId="0" applyFont="1" applyFill="1" applyBorder="1" applyAlignment="1">
      <alignment horizontal="left" vertical="center" wrapText="1"/>
    </xf>
    <xf numFmtId="0" fontId="56" fillId="38" borderId="71" xfId="0" applyFont="1" applyFill="1" applyBorder="1" applyAlignment="1">
      <alignment horizontal="left" vertical="center" wrapText="1"/>
    </xf>
    <xf numFmtId="43" fontId="32" fillId="73" borderId="131" xfId="19" applyFont="1" applyFill="1" applyBorder="1" applyAlignment="1" applyProtection="1">
      <alignment horizontal="center" vertical="center" wrapText="1"/>
      <protection locked="0"/>
    </xf>
    <xf numFmtId="43" fontId="32" fillId="73" borderId="71" xfId="19" applyFont="1" applyFill="1" applyBorder="1" applyAlignment="1" applyProtection="1">
      <alignment horizontal="center" vertical="center" wrapText="1"/>
      <protection locked="0"/>
    </xf>
    <xf numFmtId="43" fontId="32" fillId="73" borderId="132" xfId="19" applyFont="1" applyFill="1" applyBorder="1" applyAlignment="1" applyProtection="1">
      <alignment horizontal="center" vertical="center" wrapText="1"/>
      <protection locked="0"/>
    </xf>
    <xf numFmtId="43" fontId="32" fillId="73" borderId="133" xfId="19" applyFont="1" applyFill="1" applyBorder="1" applyAlignment="1" applyProtection="1">
      <alignment horizontal="center" vertical="center" wrapText="1"/>
      <protection locked="0"/>
    </xf>
    <xf numFmtId="43" fontId="32" fillId="73" borderId="72" xfId="19" applyFont="1" applyFill="1" applyBorder="1" applyAlignment="1" applyProtection="1">
      <alignment horizontal="center" vertical="center" wrapText="1"/>
      <protection locked="0"/>
    </xf>
    <xf numFmtId="43" fontId="32" fillId="73" borderId="134" xfId="19" applyFont="1" applyFill="1" applyBorder="1" applyAlignment="1" applyProtection="1">
      <alignment horizontal="center" vertical="center" wrapText="1"/>
      <protection locked="0"/>
    </xf>
    <xf numFmtId="0" fontId="34" fillId="73" borderId="71" xfId="0" applyFont="1" applyFill="1" applyBorder="1" applyAlignment="1" applyProtection="1">
      <alignment horizontal="center" vertical="center"/>
      <protection locked="0"/>
    </xf>
    <xf numFmtId="0" fontId="34" fillId="73" borderId="0" xfId="0" applyFont="1" applyFill="1" applyAlignment="1" applyProtection="1">
      <alignment horizontal="center" vertical="center"/>
      <protection locked="0"/>
    </xf>
    <xf numFmtId="0" fontId="17" fillId="59" borderId="36" xfId="57" applyFont="1" applyFill="1" applyBorder="1" applyAlignment="1">
      <alignment horizontal="center" vertical="center"/>
    </xf>
    <xf numFmtId="0" fontId="17" fillId="59" borderId="0" xfId="57" applyFont="1" applyFill="1" applyAlignment="1">
      <alignment horizontal="center" vertical="center"/>
    </xf>
    <xf numFmtId="0" fontId="1" fillId="44" borderId="19" xfId="57" applyFont="1" applyFill="1" applyBorder="1" applyAlignment="1">
      <alignment horizontal="center" wrapText="1" shrinkToFit="1"/>
    </xf>
    <xf numFmtId="0" fontId="8" fillId="45" borderId="19" xfId="57" applyFill="1" applyBorder="1" applyAlignment="1">
      <alignment horizontal="left" vertical="center" wrapText="1"/>
    </xf>
    <xf numFmtId="0" fontId="8" fillId="45" borderId="19" xfId="57" applyFill="1" applyBorder="1" applyAlignment="1">
      <alignment horizontal="left" wrapText="1"/>
    </xf>
    <xf numFmtId="0" fontId="1" fillId="44" borderId="20" xfId="57" applyFont="1" applyFill="1" applyBorder="1" applyAlignment="1">
      <alignment horizontal="center" wrapText="1" shrinkToFit="1"/>
    </xf>
    <xf numFmtId="0" fontId="1" fillId="44" borderId="22" xfId="57" applyFont="1" applyFill="1" applyBorder="1" applyAlignment="1">
      <alignment horizontal="center" wrapText="1" shrinkToFit="1"/>
    </xf>
    <xf numFmtId="0" fontId="8" fillId="0" borderId="20" xfId="57" applyBorder="1" applyAlignment="1">
      <alignment vertical="center" wrapText="1" shrinkToFit="1"/>
    </xf>
    <xf numFmtId="0" fontId="8" fillId="0" borderId="22" xfId="57" applyBorder="1" applyAlignment="1">
      <alignment vertical="center" wrapText="1" shrinkToFit="1"/>
    </xf>
    <xf numFmtId="0" fontId="8" fillId="0" borderId="20" xfId="57" applyBorder="1" applyAlignment="1">
      <alignment horizontal="left" vertical="center" wrapText="1" shrinkToFit="1"/>
    </xf>
    <xf numFmtId="0" fontId="8" fillId="0" borderId="22" xfId="57" applyBorder="1" applyAlignment="1">
      <alignment horizontal="left" vertical="center" wrapText="1" shrinkToFit="1"/>
    </xf>
    <xf numFmtId="0" fontId="1" fillId="44" borderId="17" xfId="57" applyFont="1" applyFill="1" applyBorder="1" applyAlignment="1">
      <alignment horizontal="center" wrapText="1" shrinkToFit="1"/>
    </xf>
    <xf numFmtId="0" fontId="1" fillId="44" borderId="18" xfId="57" applyFont="1" applyFill="1" applyBorder="1" applyAlignment="1">
      <alignment horizontal="center" wrapText="1" shrinkToFit="1"/>
    </xf>
    <xf numFmtId="0" fontId="17" fillId="44" borderId="0" xfId="0" applyFont="1" applyFill="1" applyAlignment="1">
      <alignment horizontal="center" vertical="center"/>
    </xf>
    <xf numFmtId="0" fontId="34" fillId="73" borderId="40" xfId="0" applyFont="1" applyFill="1" applyBorder="1" applyAlignment="1" applyProtection="1">
      <alignment horizontal="center" vertical="center"/>
      <protection locked="0"/>
    </xf>
    <xf numFmtId="43" fontId="28" fillId="42" borderId="0" xfId="19" applyFont="1" applyFill="1" applyBorder="1" applyAlignment="1">
      <alignment horizontal="center" vertical="center"/>
    </xf>
    <xf numFmtId="0" fontId="57" fillId="43" borderId="91" xfId="0" applyFont="1" applyFill="1" applyBorder="1" applyAlignment="1">
      <alignment horizontal="left" vertical="center" wrapText="1"/>
    </xf>
    <xf numFmtId="49" fontId="27" fillId="43" borderId="75" xfId="0" applyNumberFormat="1" applyFont="1" applyFill="1" applyBorder="1" applyAlignment="1">
      <alignment horizontal="justify" vertical="center" wrapText="1"/>
    </xf>
    <xf numFmtId="49" fontId="27" fillId="43" borderId="75" xfId="0" applyNumberFormat="1" applyFont="1" applyFill="1" applyBorder="1" applyAlignment="1">
      <alignment horizontal="justify" vertical="center"/>
    </xf>
    <xf numFmtId="43" fontId="34" fillId="73" borderId="40" xfId="19" applyFont="1" applyFill="1" applyBorder="1" applyAlignment="1" applyProtection="1">
      <alignment horizontal="center" vertical="center"/>
      <protection locked="0"/>
    </xf>
    <xf numFmtId="43" fontId="34" fillId="73" borderId="0" xfId="19" applyFont="1" applyFill="1" applyBorder="1" applyAlignment="1" applyProtection="1">
      <alignment horizontal="center" vertical="center"/>
      <protection locked="0"/>
    </xf>
    <xf numFmtId="0" fontId="57" fillId="45" borderId="0" xfId="0" applyFont="1" applyFill="1" applyAlignment="1">
      <alignment horizontal="left" vertical="center"/>
    </xf>
    <xf numFmtId="0" fontId="55" fillId="74" borderId="0" xfId="0" applyFont="1" applyFill="1" applyAlignment="1">
      <alignment horizontal="center" vertical="center" wrapText="1"/>
    </xf>
    <xf numFmtId="0" fontId="22" fillId="42" borderId="75" xfId="0" applyFont="1" applyFill="1" applyBorder="1" applyAlignment="1">
      <alignment horizontal="left" vertical="center"/>
    </xf>
    <xf numFmtId="0" fontId="44" fillId="48" borderId="0" xfId="0" applyFont="1" applyFill="1" applyAlignment="1">
      <alignment horizontal="left" vertical="center" wrapText="1"/>
    </xf>
    <xf numFmtId="0" fontId="34" fillId="73" borderId="13" xfId="0" applyFont="1" applyFill="1" applyBorder="1" applyAlignment="1" applyProtection="1">
      <alignment horizontal="center" vertical="center"/>
      <protection locked="0"/>
    </xf>
    <xf numFmtId="0" fontId="34" fillId="73" borderId="85" xfId="0" applyFont="1" applyFill="1" applyBorder="1" applyAlignment="1" applyProtection="1">
      <alignment horizontal="center" vertical="center"/>
      <protection locked="0"/>
    </xf>
    <xf numFmtId="0" fontId="34" fillId="73" borderId="86" xfId="0" applyFont="1" applyFill="1" applyBorder="1" applyAlignment="1" applyProtection="1">
      <alignment horizontal="center" vertical="center"/>
      <protection locked="0"/>
    </xf>
    <xf numFmtId="0" fontId="24" fillId="41" borderId="21" xfId="0" applyFont="1" applyFill="1" applyBorder="1" applyAlignment="1">
      <alignment horizontal="center" vertical="center"/>
    </xf>
    <xf numFmtId="0" fontId="22" fillId="42" borderId="12" xfId="0" applyFont="1" applyFill="1" applyBorder="1" applyAlignment="1">
      <alignment horizontal="left" vertical="center"/>
    </xf>
    <xf numFmtId="0" fontId="27" fillId="43" borderId="12" xfId="0" applyFont="1" applyFill="1" applyBorder="1" applyAlignment="1">
      <alignment horizontal="justify" vertical="center"/>
    </xf>
    <xf numFmtId="0" fontId="0" fillId="41" borderId="0" xfId="0" applyFill="1" applyAlignment="1">
      <alignment horizontal="center" vertical="center"/>
    </xf>
    <xf numFmtId="0" fontId="34" fillId="73" borderId="25" xfId="0" applyFont="1" applyFill="1" applyBorder="1" applyAlignment="1" applyProtection="1">
      <alignment horizontal="center" vertical="center"/>
      <protection locked="0"/>
    </xf>
    <xf numFmtId="0" fontId="0" fillId="0" borderId="0" xfId="0" applyAlignment="1">
      <alignment horizontal="center" vertical="center"/>
    </xf>
    <xf numFmtId="0" fontId="20" fillId="0" borderId="14" xfId="0" applyFont="1" applyBorder="1" applyAlignment="1">
      <alignment horizontal="left" vertical="center"/>
    </xf>
    <xf numFmtId="0" fontId="20" fillId="0" borderId="15" xfId="0" applyFont="1" applyBorder="1" applyAlignment="1">
      <alignment horizontal="left" vertical="center"/>
    </xf>
    <xf numFmtId="0" fontId="20" fillId="0" borderId="16" xfId="0" applyFont="1" applyBorder="1" applyAlignment="1">
      <alignment horizontal="left" vertical="center"/>
    </xf>
    <xf numFmtId="0" fontId="20" fillId="0" borderId="56" xfId="0" applyFont="1" applyBorder="1" applyAlignment="1">
      <alignment horizontal="left" vertical="center"/>
    </xf>
    <xf numFmtId="0" fontId="20" fillId="0" borderId="57" xfId="0" applyFont="1" applyBorder="1" applyAlignment="1">
      <alignment horizontal="left" vertical="center"/>
    </xf>
    <xf numFmtId="0" fontId="20" fillId="0" borderId="58" xfId="0" applyFont="1" applyBorder="1" applyAlignment="1">
      <alignment horizontal="left" vertical="center"/>
    </xf>
    <xf numFmtId="0" fontId="20" fillId="0" borderId="36" xfId="0" applyFont="1" applyBorder="1" applyAlignment="1">
      <alignment horizontal="center" vertical="center"/>
    </xf>
    <xf numFmtId="0" fontId="24" fillId="51" borderId="64" xfId="0" applyFont="1" applyFill="1" applyBorder="1" applyAlignment="1">
      <alignment horizontal="center" vertical="center"/>
    </xf>
    <xf numFmtId="0" fontId="22" fillId="52" borderId="61" xfId="0" applyFont="1" applyFill="1" applyBorder="1" applyAlignment="1">
      <alignment horizontal="left" vertical="center"/>
    </xf>
    <xf numFmtId="0" fontId="22" fillId="52" borderId="62" xfId="0" applyFont="1" applyFill="1" applyBorder="1" applyAlignment="1">
      <alignment horizontal="left" vertical="center"/>
    </xf>
    <xf numFmtId="0" fontId="22" fillId="52" borderId="63" xfId="0" applyFont="1" applyFill="1" applyBorder="1" applyAlignment="1">
      <alignment horizontal="left" vertical="center"/>
    </xf>
    <xf numFmtId="0" fontId="27" fillId="43" borderId="61" xfId="0" applyFont="1" applyFill="1" applyBorder="1" applyAlignment="1">
      <alignment horizontal="justify" vertical="center"/>
    </xf>
    <xf numFmtId="0" fontId="27" fillId="43" borderId="62" xfId="0" applyFont="1" applyFill="1" applyBorder="1" applyAlignment="1">
      <alignment horizontal="justify" vertical="center"/>
    </xf>
    <xf numFmtId="0" fontId="27" fillId="43" borderId="63" xfId="0" applyFont="1" applyFill="1" applyBorder="1" applyAlignment="1">
      <alignment horizontal="justify" vertical="center"/>
    </xf>
    <xf numFmtId="0" fontId="51" fillId="45" borderId="0" xfId="0" applyFont="1" applyFill="1" applyAlignment="1">
      <alignment horizontal="justify" vertical="center"/>
    </xf>
    <xf numFmtId="0" fontId="51" fillId="45" borderId="0" xfId="0" applyFont="1" applyFill="1" applyAlignment="1">
      <alignment horizontal="justify" vertical="center" wrapText="1"/>
    </xf>
    <xf numFmtId="0" fontId="29" fillId="45" borderId="127" xfId="0" applyFont="1" applyFill="1" applyBorder="1" applyAlignment="1">
      <alignment horizontal="left" vertical="center" wrapText="1"/>
    </xf>
    <xf numFmtId="0" fontId="30" fillId="45" borderId="127" xfId="0" applyFont="1" applyFill="1" applyBorder="1" applyAlignment="1">
      <alignment horizontal="left" vertical="center" wrapText="1"/>
    </xf>
    <xf numFmtId="0" fontId="17" fillId="53" borderId="0" xfId="0" applyFont="1" applyFill="1" applyAlignment="1">
      <alignment horizontal="center" vertical="center"/>
    </xf>
    <xf numFmtId="43" fontId="28" fillId="52" borderId="0" xfId="19" applyFont="1" applyFill="1" applyBorder="1" applyAlignment="1">
      <alignment horizontal="center" vertical="center"/>
    </xf>
    <xf numFmtId="0" fontId="22" fillId="52" borderId="32" xfId="0" applyFont="1" applyFill="1" applyBorder="1" applyAlignment="1">
      <alignment horizontal="left" vertical="center"/>
    </xf>
    <xf numFmtId="49" fontId="27" fillId="43" borderId="73" xfId="0" applyNumberFormat="1" applyFont="1" applyFill="1" applyBorder="1" applyAlignment="1">
      <alignment horizontal="justify" vertical="center" wrapText="1"/>
    </xf>
    <xf numFmtId="49" fontId="27" fillId="43" borderId="74" xfId="0" applyNumberFormat="1" applyFont="1" applyFill="1" applyBorder="1" applyAlignment="1">
      <alignment horizontal="justify" vertical="center"/>
    </xf>
    <xf numFmtId="0" fontId="32" fillId="73" borderId="40" xfId="0" applyFont="1" applyFill="1" applyBorder="1" applyAlignment="1" applyProtection="1">
      <alignment horizontal="center" vertical="center"/>
      <protection locked="0"/>
    </xf>
    <xf numFmtId="0" fontId="32" fillId="73" borderId="0" xfId="0" applyFont="1" applyFill="1" applyAlignment="1" applyProtection="1">
      <alignment horizontal="center" vertical="center"/>
      <protection locked="0"/>
    </xf>
    <xf numFmtId="0" fontId="24" fillId="51" borderId="0" xfId="0" applyFont="1" applyFill="1" applyAlignment="1">
      <alignment horizontal="center" vertical="center"/>
    </xf>
    <xf numFmtId="0" fontId="27" fillId="43" borderId="32" xfId="0" applyFont="1" applyFill="1" applyBorder="1" applyAlignment="1">
      <alignment horizontal="justify" vertical="center"/>
    </xf>
    <xf numFmtId="0" fontId="0" fillId="51" borderId="0" xfId="0" applyFill="1" applyAlignment="1">
      <alignment horizontal="center" vertical="center"/>
    </xf>
    <xf numFmtId="43" fontId="32" fillId="52" borderId="0" xfId="19" applyFont="1" applyFill="1" applyBorder="1" applyAlignment="1">
      <alignment horizontal="center" vertical="center"/>
    </xf>
    <xf numFmtId="0" fontId="28" fillId="38" borderId="0" xfId="0" applyFont="1" applyFill="1" applyAlignment="1">
      <alignment horizontal="left" vertical="center"/>
    </xf>
    <xf numFmtId="0" fontId="0" fillId="0" borderId="0" xfId="0" applyAlignment="1">
      <alignment horizontal="left" indent="1"/>
    </xf>
    <xf numFmtId="0" fontId="0" fillId="0" borderId="0" xfId="0" applyAlignment="1">
      <alignment horizontal="right" vertical="center"/>
    </xf>
    <xf numFmtId="0" fontId="0" fillId="45" borderId="19" xfId="0" applyFill="1" applyBorder="1" applyAlignment="1">
      <alignment wrapText="1" shrinkToFit="1"/>
    </xf>
    <xf numFmtId="0" fontId="1" fillId="55" borderId="36" xfId="0" applyFont="1" applyFill="1" applyBorder="1" applyAlignment="1">
      <alignment horizontal="center" wrapText="1" shrinkToFit="1"/>
    </xf>
    <xf numFmtId="0" fontId="1" fillId="55" borderId="0" xfId="0" applyFont="1" applyFill="1" applyAlignment="1">
      <alignment horizontal="center" wrapText="1" shrinkToFit="1"/>
    </xf>
    <xf numFmtId="0" fontId="0" fillId="0" borderId="0" xfId="0" applyAlignment="1">
      <alignment horizontal="left" wrapText="1"/>
    </xf>
    <xf numFmtId="49" fontId="0" fillId="0" borderId="20" xfId="0" applyNumberFormat="1" applyBorder="1" applyAlignment="1">
      <alignment horizontal="left" vertical="center" wrapText="1" indent="1" shrinkToFit="1"/>
    </xf>
    <xf numFmtId="49" fontId="0" fillId="0" borderId="34" xfId="0" applyNumberFormat="1" applyBorder="1" applyAlignment="1">
      <alignment horizontal="left" vertical="center" wrapText="1" indent="1" shrinkToFit="1"/>
    </xf>
    <xf numFmtId="49" fontId="0" fillId="0" borderId="22" xfId="0" applyNumberFormat="1" applyBorder="1" applyAlignment="1">
      <alignment horizontal="left" vertical="center" wrapText="1" indent="1" shrinkToFit="1"/>
    </xf>
    <xf numFmtId="0" fontId="31" fillId="0" borderId="36" xfId="58" applyBorder="1" applyAlignment="1">
      <alignment horizontal="left" indent="1"/>
    </xf>
    <xf numFmtId="0" fontId="31" fillId="0" borderId="0" xfId="58" applyBorder="1" applyAlignment="1">
      <alignment horizontal="left" indent="1"/>
    </xf>
    <xf numFmtId="0" fontId="0" fillId="0" borderId="0" xfId="0" applyAlignment="1">
      <alignment wrapText="1" shrinkToFit="1"/>
    </xf>
    <xf numFmtId="0" fontId="0" fillId="0" borderId="3" xfId="0" applyBorder="1" applyAlignment="1">
      <alignment wrapText="1" shrinkToFit="1"/>
    </xf>
    <xf numFmtId="0" fontId="1" fillId="44" borderId="0" xfId="0" applyFont="1" applyFill="1" applyAlignment="1">
      <alignment horizontal="center" wrapText="1" shrinkToFit="1"/>
    </xf>
    <xf numFmtId="0" fontId="0" fillId="0" borderId="0" xfId="0" applyAlignment="1">
      <alignment horizontal="left"/>
    </xf>
    <xf numFmtId="0" fontId="1" fillId="44" borderId="17" xfId="0" applyFont="1" applyFill="1" applyBorder="1" applyAlignment="1">
      <alignment horizontal="center" wrapText="1" shrinkToFit="1"/>
    </xf>
    <xf numFmtId="49" fontId="0" fillId="0" borderId="20" xfId="0" quotePrefix="1" applyNumberFormat="1" applyBorder="1" applyAlignment="1">
      <alignment horizontal="left" vertical="center" wrapText="1" indent="1"/>
    </xf>
    <xf numFmtId="49" fontId="0" fillId="0" borderId="34" xfId="0" quotePrefix="1" applyNumberFormat="1" applyBorder="1" applyAlignment="1">
      <alignment horizontal="left" vertical="center" wrapText="1" indent="1"/>
    </xf>
    <xf numFmtId="49" fontId="0" fillId="0" borderId="22" xfId="0" quotePrefix="1" applyNumberFormat="1" applyBorder="1" applyAlignment="1">
      <alignment horizontal="left" vertical="center" wrapText="1" indent="1"/>
    </xf>
    <xf numFmtId="0" fontId="0" fillId="57" borderId="0" xfId="0" applyFill="1" applyAlignment="1">
      <alignment horizontal="center" vertical="center"/>
    </xf>
    <xf numFmtId="0" fontId="24" fillId="57" borderId="0" xfId="0" applyFont="1" applyFill="1" applyAlignment="1">
      <alignment horizontal="center" vertical="center"/>
    </xf>
    <xf numFmtId="0" fontId="22" fillId="58" borderId="38" xfId="0" applyFont="1" applyFill="1" applyBorder="1" applyAlignment="1">
      <alignment horizontal="left" vertical="center"/>
    </xf>
    <xf numFmtId="0" fontId="27" fillId="43" borderId="38" xfId="0" applyFont="1" applyFill="1" applyBorder="1" applyAlignment="1">
      <alignment horizontal="justify" vertical="center"/>
    </xf>
    <xf numFmtId="49" fontId="27" fillId="43" borderId="38" xfId="0" applyNumberFormat="1" applyFont="1" applyFill="1" applyBorder="1" applyAlignment="1">
      <alignment horizontal="justify" vertical="center" wrapText="1"/>
    </xf>
    <xf numFmtId="0" fontId="17" fillId="34" borderId="0" xfId="0" applyFont="1" applyFill="1" applyAlignment="1">
      <alignment horizontal="center" vertical="center"/>
    </xf>
    <xf numFmtId="43" fontId="34" fillId="73" borderId="13" xfId="19" applyFont="1" applyFill="1" applyBorder="1" applyAlignment="1" applyProtection="1">
      <alignment horizontal="left" vertical="center"/>
      <protection locked="0"/>
    </xf>
    <xf numFmtId="0" fontId="27" fillId="43" borderId="38" xfId="0" applyFont="1" applyFill="1" applyBorder="1" applyAlignment="1">
      <alignment horizontal="justify" vertical="center" wrapText="1"/>
    </xf>
    <xf numFmtId="43" fontId="32" fillId="73" borderId="40" xfId="19" applyFont="1" applyFill="1" applyBorder="1" applyAlignment="1" applyProtection="1">
      <alignment horizontal="center" vertical="center"/>
      <protection locked="0"/>
    </xf>
    <xf numFmtId="43" fontId="32" fillId="73" borderId="0" xfId="19" applyFont="1" applyFill="1" applyBorder="1" applyAlignment="1" applyProtection="1">
      <alignment horizontal="center" vertical="center"/>
      <protection locked="0"/>
    </xf>
    <xf numFmtId="43" fontId="34" fillId="73" borderId="13" xfId="19" applyFont="1" applyFill="1" applyBorder="1" applyAlignment="1" applyProtection="1">
      <alignment horizontal="center" vertical="center"/>
      <protection locked="0"/>
    </xf>
    <xf numFmtId="0" fontId="17" fillId="59" borderId="36" xfId="57" applyFont="1" applyFill="1" applyBorder="1" applyAlignment="1">
      <alignment horizontal="center" vertical="center" wrapText="1"/>
    </xf>
    <xf numFmtId="0" fontId="17" fillId="59" borderId="0" xfId="57" applyFont="1" applyFill="1" applyAlignment="1">
      <alignment horizontal="center" vertical="center" wrapText="1"/>
    </xf>
    <xf numFmtId="0" fontId="17" fillId="59" borderId="19" xfId="57" applyFont="1" applyFill="1" applyBorder="1" applyAlignment="1">
      <alignment horizontal="center" vertical="center" wrapText="1"/>
    </xf>
    <xf numFmtId="0" fontId="20" fillId="0" borderId="19" xfId="57" applyFont="1" applyBorder="1" applyAlignment="1">
      <alignment horizontal="right" vertical="center" wrapText="1" shrinkToFit="1"/>
    </xf>
    <xf numFmtId="0" fontId="8" fillId="0" borderId="20" xfId="57" applyBorder="1" applyAlignment="1">
      <alignment horizontal="left"/>
    </xf>
    <xf numFmtId="0" fontId="8" fillId="0" borderId="34" xfId="57" applyBorder="1" applyAlignment="1">
      <alignment horizontal="left"/>
    </xf>
    <xf numFmtId="0" fontId="8" fillId="0" borderId="22" xfId="57" applyBorder="1" applyAlignment="1">
      <alignment horizontal="left"/>
    </xf>
    <xf numFmtId="0" fontId="8" fillId="0" borderId="20" xfId="57" applyBorder="1" applyAlignment="1">
      <alignment horizontal="left" wrapText="1"/>
    </xf>
    <xf numFmtId="0" fontId="8" fillId="0" borderId="34" xfId="57" applyBorder="1" applyAlignment="1">
      <alignment horizontal="left" wrapText="1"/>
    </xf>
    <xf numFmtId="0" fontId="8" fillId="0" borderId="22" xfId="57" applyBorder="1" applyAlignment="1">
      <alignment horizontal="left" wrapText="1"/>
    </xf>
    <xf numFmtId="49" fontId="8" fillId="0" borderId="19" xfId="57" quotePrefix="1" applyNumberFormat="1" applyBorder="1" applyAlignment="1">
      <alignment vertical="center" wrapText="1"/>
    </xf>
    <xf numFmtId="49" fontId="8" fillId="0" borderId="19" xfId="57" applyNumberFormat="1" applyBorder="1" applyAlignment="1">
      <alignment vertical="center" wrapText="1" shrinkToFit="1"/>
    </xf>
    <xf numFmtId="49" fontId="8" fillId="0" borderId="19" xfId="57" quotePrefix="1" applyNumberFormat="1" applyBorder="1" applyAlignment="1">
      <alignment vertical="center" wrapText="1" shrinkToFit="1"/>
    </xf>
    <xf numFmtId="0" fontId="8" fillId="0" borderId="0" xfId="57" applyAlignment="1">
      <alignment horizontal="left" wrapText="1"/>
    </xf>
    <xf numFmtId="0" fontId="8" fillId="0" borderId="24" xfId="57" applyBorder="1" applyAlignment="1">
      <alignment horizontal="left"/>
    </xf>
    <xf numFmtId="0" fontId="1" fillId="44" borderId="34" xfId="57" applyFont="1" applyFill="1" applyBorder="1" applyAlignment="1">
      <alignment horizontal="center" wrapText="1" shrinkToFit="1"/>
    </xf>
    <xf numFmtId="49" fontId="8" fillId="0" borderId="19" xfId="57" quotePrefix="1" applyNumberFormat="1" applyBorder="1" applyAlignment="1">
      <alignment horizontal="left" vertical="center" wrapText="1" indent="1"/>
    </xf>
    <xf numFmtId="49" fontId="8" fillId="0" borderId="19" xfId="57" applyNumberFormat="1" applyBorder="1" applyAlignment="1">
      <alignment horizontal="left" vertical="center" wrapText="1" indent="1" shrinkToFit="1"/>
    </xf>
    <xf numFmtId="49" fontId="8" fillId="0" borderId="19" xfId="57" quotePrefix="1" applyNumberFormat="1" applyBorder="1" applyAlignment="1">
      <alignment horizontal="left" vertical="center" wrapText="1" indent="1" shrinkToFit="1"/>
    </xf>
    <xf numFmtId="0" fontId="22" fillId="63" borderId="147" xfId="0" applyFont="1" applyFill="1" applyBorder="1" applyAlignment="1">
      <alignment horizontal="left" vertical="center"/>
    </xf>
    <xf numFmtId="0" fontId="22" fillId="63" borderId="148" xfId="0" applyFont="1" applyFill="1" applyBorder="1" applyAlignment="1">
      <alignment horizontal="left" vertical="center"/>
    </xf>
    <xf numFmtId="0" fontId="22" fillId="63" borderId="149" xfId="0" applyFont="1" applyFill="1" applyBorder="1" applyAlignment="1">
      <alignment horizontal="left" vertical="center"/>
    </xf>
    <xf numFmtId="0" fontId="22" fillId="63" borderId="150" xfId="0" applyFont="1" applyFill="1" applyBorder="1" applyAlignment="1">
      <alignment horizontal="left" vertical="center"/>
    </xf>
    <xf numFmtId="0" fontId="22" fillId="63" borderId="151" xfId="0" applyFont="1" applyFill="1" applyBorder="1" applyAlignment="1">
      <alignment horizontal="left" vertical="center"/>
    </xf>
    <xf numFmtId="0" fontId="22" fillId="63" borderId="152" xfId="0" applyFont="1" applyFill="1" applyBorder="1" applyAlignment="1">
      <alignment horizontal="left" vertical="center"/>
    </xf>
    <xf numFmtId="0" fontId="27" fillId="43" borderId="147" xfId="0" applyFont="1" applyFill="1" applyBorder="1" applyAlignment="1">
      <alignment horizontal="left" vertical="center" wrapText="1"/>
    </xf>
    <xf numFmtId="0" fontId="27" fillId="43" borderId="148" xfId="0" applyFont="1" applyFill="1" applyBorder="1" applyAlignment="1">
      <alignment horizontal="left" vertical="center" wrapText="1"/>
    </xf>
    <xf numFmtId="0" fontId="27" fillId="43" borderId="149" xfId="0" applyFont="1" applyFill="1" applyBorder="1" applyAlignment="1">
      <alignment horizontal="left" vertical="center" wrapText="1"/>
    </xf>
    <xf numFmtId="0" fontId="27" fillId="43" borderId="150" xfId="0" applyFont="1" applyFill="1" applyBorder="1" applyAlignment="1">
      <alignment horizontal="left" vertical="center" wrapText="1"/>
    </xf>
    <xf numFmtId="0" fontId="27" fillId="43" borderId="151" xfId="0" applyFont="1" applyFill="1" applyBorder="1" applyAlignment="1">
      <alignment horizontal="left" vertical="center" wrapText="1"/>
    </xf>
    <xf numFmtId="0" fontId="27" fillId="43" borderId="152" xfId="0" applyFont="1" applyFill="1" applyBorder="1" applyAlignment="1">
      <alignment horizontal="left" vertical="center" wrapText="1"/>
    </xf>
    <xf numFmtId="0" fontId="0" fillId="56" borderId="0" xfId="0" applyFill="1" applyAlignment="1">
      <alignment horizontal="center" vertical="center"/>
    </xf>
    <xf numFmtId="0" fontId="28" fillId="73" borderId="0" xfId="19" applyNumberFormat="1" applyFont="1" applyFill="1" applyBorder="1" applyAlignment="1" applyProtection="1">
      <alignment horizontal="center" vertical="center"/>
      <protection locked="0"/>
    </xf>
    <xf numFmtId="10" fontId="32" fillId="73" borderId="13" xfId="19" applyNumberFormat="1" applyFont="1" applyFill="1" applyBorder="1" applyAlignment="1" applyProtection="1">
      <alignment horizontal="center" vertical="center"/>
      <protection locked="0"/>
    </xf>
    <xf numFmtId="0" fontId="32" fillId="73" borderId="0" xfId="0" applyFont="1" applyFill="1" applyAlignment="1" applyProtection="1">
      <alignment horizontal="center" vertical="center" wrapText="1"/>
      <protection locked="0"/>
    </xf>
    <xf numFmtId="43" fontId="28" fillId="43" borderId="40" xfId="19" applyFont="1" applyFill="1" applyBorder="1" applyAlignment="1">
      <alignment horizontal="center" vertical="center"/>
    </xf>
    <xf numFmtId="43" fontId="28" fillId="43" borderId="0" xfId="19" applyFont="1" applyFill="1" applyAlignment="1">
      <alignment horizontal="center" vertical="center"/>
    </xf>
    <xf numFmtId="0" fontId="22" fillId="63" borderId="46" xfId="0" applyFont="1" applyFill="1" applyBorder="1" applyAlignment="1">
      <alignment horizontal="left" vertical="center"/>
    </xf>
    <xf numFmtId="49" fontId="27" fillId="43" borderId="46" xfId="0" applyNumberFormat="1" applyFont="1" applyFill="1" applyBorder="1" applyAlignment="1">
      <alignment horizontal="justify" vertical="center" wrapText="1"/>
    </xf>
    <xf numFmtId="0" fontId="17" fillId="64" borderId="0" xfId="0" applyFont="1" applyFill="1" applyAlignment="1">
      <alignment horizontal="center" vertical="center"/>
    </xf>
    <xf numFmtId="0" fontId="27" fillId="43" borderId="46" xfId="0" applyFont="1" applyFill="1" applyBorder="1" applyAlignment="1">
      <alignment horizontal="justify" vertical="center"/>
    </xf>
    <xf numFmtId="168" fontId="28" fillId="73" borderId="13" xfId="19" applyNumberFormat="1" applyFont="1" applyFill="1" applyBorder="1" applyAlignment="1" applyProtection="1">
      <alignment horizontal="center" vertical="center"/>
      <protection locked="0"/>
    </xf>
    <xf numFmtId="0" fontId="56" fillId="38" borderId="40" xfId="0" applyFont="1" applyFill="1" applyBorder="1" applyAlignment="1">
      <alignment horizontal="left" vertical="center"/>
    </xf>
    <xf numFmtId="0" fontId="24" fillId="56" borderId="49" xfId="0" applyFont="1" applyFill="1" applyBorder="1" applyAlignment="1">
      <alignment horizontal="center" vertical="center"/>
    </xf>
    <xf numFmtId="0" fontId="56" fillId="38" borderId="13" xfId="0" applyFont="1" applyFill="1" applyBorder="1" applyAlignment="1">
      <alignment horizontal="left" vertical="center" wrapText="1"/>
    </xf>
    <xf numFmtId="168" fontId="32" fillId="73" borderId="13" xfId="19" applyNumberFormat="1" applyFont="1" applyFill="1" applyBorder="1" applyAlignment="1" applyProtection="1">
      <alignment horizontal="center" vertical="center" wrapText="1"/>
      <protection locked="0"/>
    </xf>
    <xf numFmtId="43" fontId="32" fillId="73" borderId="13" xfId="19" applyFont="1" applyFill="1" applyBorder="1" applyAlignment="1" applyProtection="1">
      <alignment horizontal="left" vertical="center"/>
      <protection locked="0"/>
    </xf>
    <xf numFmtId="49" fontId="27" fillId="43" borderId="46" xfId="0" applyNumberFormat="1" applyFont="1" applyFill="1" applyBorder="1" applyAlignment="1">
      <alignment horizontal="justify" vertical="center"/>
    </xf>
    <xf numFmtId="43" fontId="32" fillId="73" borderId="13" xfId="19" applyFont="1" applyFill="1" applyBorder="1" applyAlignment="1" applyProtection="1">
      <alignment horizontal="center" vertical="center"/>
      <protection locked="0"/>
    </xf>
    <xf numFmtId="10" fontId="28" fillId="73" borderId="13" xfId="19" applyNumberFormat="1" applyFont="1" applyFill="1" applyBorder="1" applyAlignment="1" applyProtection="1">
      <alignment horizontal="center" vertical="center"/>
      <protection locked="0"/>
    </xf>
    <xf numFmtId="49" fontId="27" fillId="43" borderId="67" xfId="0" applyNumberFormat="1" applyFont="1" applyFill="1" applyBorder="1" applyAlignment="1">
      <alignment horizontal="justify" vertical="center" wrapText="1"/>
    </xf>
    <xf numFmtId="49" fontId="27" fillId="43" borderId="68" xfId="0" applyNumberFormat="1" applyFont="1" applyFill="1" applyBorder="1" applyAlignment="1">
      <alignment horizontal="justify" vertical="center" wrapText="1"/>
    </xf>
    <xf numFmtId="49" fontId="27" fillId="43" borderId="69" xfId="0" applyNumberFormat="1" applyFont="1" applyFill="1" applyBorder="1" applyAlignment="1">
      <alignment horizontal="justify" vertical="center" wrapText="1"/>
    </xf>
    <xf numFmtId="0" fontId="51" fillId="73" borderId="13" xfId="0" applyFont="1" applyFill="1" applyBorder="1" applyAlignment="1" applyProtection="1">
      <alignment horizontal="center" vertical="center" wrapText="1"/>
      <protection locked="0"/>
    </xf>
    <xf numFmtId="0" fontId="27" fillId="43" borderId="46" xfId="0" applyFont="1" applyFill="1" applyBorder="1" applyAlignment="1">
      <alignment horizontal="justify" vertical="center" wrapText="1"/>
    </xf>
    <xf numFmtId="0" fontId="1" fillId="44" borderId="20" xfId="0" applyFont="1" applyFill="1" applyBorder="1" applyAlignment="1">
      <alignment horizontal="center" wrapText="1" shrinkToFit="1"/>
    </xf>
    <xf numFmtId="0" fontId="1" fillId="44" borderId="22" xfId="0" applyFont="1" applyFill="1" applyBorder="1" applyAlignment="1">
      <alignment horizontal="center" wrapText="1" shrinkToFit="1"/>
    </xf>
    <xf numFmtId="0" fontId="0" fillId="0" borderId="20" xfId="0" applyBorder="1" applyAlignment="1">
      <alignment vertical="center" wrapText="1" shrinkToFit="1"/>
    </xf>
    <xf numFmtId="0" fontId="0" fillId="0" borderId="22" xfId="0" applyBorder="1" applyAlignment="1">
      <alignment vertical="center" wrapText="1" shrinkToFit="1"/>
    </xf>
    <xf numFmtId="0" fontId="0" fillId="0" borderId="20" xfId="0" applyBorder="1" applyAlignment="1">
      <alignment horizontal="left" vertical="center" wrapText="1" shrinkToFit="1"/>
    </xf>
    <xf numFmtId="0" fontId="0" fillId="0" borderId="22" xfId="0" applyBorder="1" applyAlignment="1">
      <alignment horizontal="left" vertical="center" wrapText="1" shrinkToFit="1"/>
    </xf>
    <xf numFmtId="0" fontId="0" fillId="45" borderId="20" xfId="0" applyFill="1" applyBorder="1" applyAlignment="1">
      <alignment horizontal="left" wrapText="1"/>
    </xf>
    <xf numFmtId="0" fontId="0" fillId="45" borderId="22" xfId="0" applyFill="1" applyBorder="1" applyAlignment="1">
      <alignment horizontal="left" wrapText="1"/>
    </xf>
    <xf numFmtId="9" fontId="0" fillId="0" borderId="20" xfId="0" applyNumberFormat="1" applyBorder="1" applyAlignment="1">
      <alignment horizontal="left" vertical="center" wrapText="1" indent="1" shrinkToFit="1"/>
    </xf>
    <xf numFmtId="2" fontId="0" fillId="0" borderId="34" xfId="0" applyNumberFormat="1" applyBorder="1" applyAlignment="1">
      <alignment horizontal="left" vertical="center" wrapText="1" indent="1" shrinkToFit="1"/>
    </xf>
    <xf numFmtId="2" fontId="0" fillId="0" borderId="22" xfId="0" applyNumberFormat="1" applyBorder="1" applyAlignment="1">
      <alignment horizontal="left" vertical="center" wrapText="1" indent="1" shrinkToFit="1"/>
    </xf>
    <xf numFmtId="0" fontId="1" fillId="44" borderId="19" xfId="0" applyFont="1" applyFill="1" applyBorder="1" applyAlignment="1">
      <alignment horizontal="center" wrapText="1" shrinkToFit="1"/>
    </xf>
    <xf numFmtId="0" fontId="0" fillId="0" borderId="20" xfId="0" applyBorder="1" applyAlignment="1">
      <alignment wrapText="1" shrinkToFit="1"/>
    </xf>
    <xf numFmtId="0" fontId="0" fillId="0" borderId="22" xfId="0" applyBorder="1" applyAlignment="1">
      <alignment wrapText="1" shrinkToFit="1"/>
    </xf>
    <xf numFmtId="0" fontId="0" fillId="0" borderId="20" xfId="0" applyBorder="1" applyAlignment="1">
      <alignment horizontal="left" wrapText="1"/>
    </xf>
    <xf numFmtId="0" fontId="0" fillId="0" borderId="34" xfId="0" applyBorder="1" applyAlignment="1">
      <alignment horizontal="left" wrapText="1"/>
    </xf>
    <xf numFmtId="0" fontId="0" fillId="0" borderId="22" xfId="0" applyBorder="1" applyAlignment="1">
      <alignment horizontal="left" wrapText="1"/>
    </xf>
    <xf numFmtId="0" fontId="0" fillId="0" borderId="20" xfId="0" applyBorder="1" applyAlignment="1">
      <alignment horizontal="left"/>
    </xf>
    <xf numFmtId="0" fontId="0" fillId="0" borderId="34" xfId="0" applyBorder="1" applyAlignment="1">
      <alignment horizontal="left"/>
    </xf>
    <xf numFmtId="0" fontId="0" fillId="0" borderId="22" xfId="0" applyBorder="1" applyAlignment="1">
      <alignment horizontal="left"/>
    </xf>
    <xf numFmtId="0" fontId="0" fillId="0" borderId="20" xfId="0" applyBorder="1" applyAlignment="1">
      <alignment horizontal="left" vertical="center" wrapText="1"/>
    </xf>
    <xf numFmtId="0" fontId="0" fillId="0" borderId="34" xfId="0" applyBorder="1" applyAlignment="1">
      <alignment horizontal="left" vertical="center" wrapText="1"/>
    </xf>
    <xf numFmtId="0" fontId="0" fillId="0" borderId="22" xfId="0" applyBorder="1" applyAlignment="1">
      <alignment horizontal="left" vertical="center" wrapText="1"/>
    </xf>
    <xf numFmtId="0" fontId="20" fillId="0" borderId="19" xfId="0" applyFont="1" applyBorder="1" applyAlignment="1">
      <alignment horizontal="right" wrapText="1"/>
    </xf>
    <xf numFmtId="0" fontId="0" fillId="0" borderId="19" xfId="0" quotePrefix="1" applyBorder="1" applyAlignment="1">
      <alignment horizontal="center" wrapText="1"/>
    </xf>
    <xf numFmtId="0" fontId="1" fillId="44" borderId="19" xfId="0" applyFont="1" applyFill="1" applyBorder="1" applyAlignment="1">
      <alignment wrapText="1" shrinkToFit="1"/>
    </xf>
    <xf numFmtId="0" fontId="0" fillId="0" borderId="19" xfId="0" applyBorder="1" applyAlignment="1">
      <alignment wrapText="1" shrinkToFit="1"/>
    </xf>
    <xf numFmtId="0" fontId="0" fillId="0" borderId="20" xfId="0" applyBorder="1" applyAlignment="1">
      <alignment wrapText="1"/>
    </xf>
    <xf numFmtId="0" fontId="0" fillId="0" borderId="22" xfId="0" applyBorder="1" applyAlignment="1">
      <alignment wrapText="1"/>
    </xf>
    <xf numFmtId="0" fontId="0" fillId="61" borderId="20" xfId="0" applyFill="1" applyBorder="1" applyAlignment="1">
      <alignment horizontal="center" wrapText="1"/>
    </xf>
    <xf numFmtId="0" fontId="0" fillId="61" borderId="22" xfId="0" applyFill="1" applyBorder="1" applyAlignment="1">
      <alignment horizontal="center" wrapText="1"/>
    </xf>
    <xf numFmtId="0" fontId="1" fillId="44" borderId="24" xfId="0" applyFont="1" applyFill="1" applyBorder="1" applyAlignment="1">
      <alignment horizontal="center" wrapText="1" shrinkToFit="1"/>
    </xf>
    <xf numFmtId="0" fontId="0" fillId="0" borderId="19" xfId="0" applyBorder="1">
      <alignment vertical="center"/>
    </xf>
    <xf numFmtId="0" fontId="0" fillId="0" borderId="19" xfId="0" applyBorder="1" applyAlignment="1">
      <alignment horizontal="center"/>
    </xf>
    <xf numFmtId="0" fontId="32" fillId="73" borderId="13" xfId="19" applyNumberFormat="1" applyFont="1" applyFill="1" applyBorder="1" applyAlignment="1" applyProtection="1">
      <alignment horizontal="center" vertical="center"/>
      <protection locked="0"/>
    </xf>
    <xf numFmtId="0" fontId="17" fillId="59" borderId="0" xfId="0" applyFont="1" applyFill="1" applyAlignment="1">
      <alignment horizontal="center" vertical="center"/>
    </xf>
    <xf numFmtId="43" fontId="32" fillId="43" borderId="13" xfId="19" applyFont="1" applyFill="1" applyBorder="1" applyAlignment="1">
      <alignment horizontal="center" vertical="center"/>
    </xf>
    <xf numFmtId="0" fontId="32" fillId="62" borderId="42" xfId="0" applyFont="1" applyFill="1" applyBorder="1" applyAlignment="1">
      <alignment horizontal="right" vertical="center" wrapText="1"/>
    </xf>
    <xf numFmtId="0" fontId="57" fillId="38" borderId="43" xfId="0" applyFont="1" applyFill="1" applyBorder="1" applyAlignment="1">
      <alignment horizontal="center" vertical="center" wrapText="1"/>
    </xf>
    <xf numFmtId="0" fontId="57" fillId="38" borderId="44" xfId="0" applyFont="1" applyFill="1" applyBorder="1" applyAlignment="1">
      <alignment horizontal="center" vertical="center" wrapText="1"/>
    </xf>
    <xf numFmtId="0" fontId="57" fillId="38" borderId="45" xfId="0" applyFont="1" applyFill="1" applyBorder="1" applyAlignment="1">
      <alignment horizontal="center" vertical="center" wrapText="1"/>
    </xf>
    <xf numFmtId="0" fontId="34" fillId="38" borderId="42" xfId="0" applyFont="1" applyFill="1" applyBorder="1" applyAlignment="1">
      <alignment horizontal="center" vertical="center" wrapText="1"/>
    </xf>
    <xf numFmtId="0" fontId="34" fillId="45" borderId="43" xfId="0" applyFont="1" applyFill="1" applyBorder="1" applyAlignment="1">
      <alignment horizontal="center" vertical="center"/>
    </xf>
    <xf numFmtId="0" fontId="34" fillId="45" borderId="45" xfId="0" applyFont="1" applyFill="1" applyBorder="1" applyAlignment="1">
      <alignment horizontal="center" vertical="center"/>
    </xf>
    <xf numFmtId="0" fontId="34" fillId="38" borderId="43" xfId="0" applyFont="1" applyFill="1" applyBorder="1" applyAlignment="1">
      <alignment horizontal="center" vertical="center" wrapText="1"/>
    </xf>
    <xf numFmtId="0" fontId="34" fillId="38" borderId="44" xfId="0" applyFont="1" applyFill="1" applyBorder="1" applyAlignment="1">
      <alignment horizontal="center" vertical="center" wrapText="1"/>
    </xf>
    <xf numFmtId="0" fontId="34" fillId="38" borderId="45" xfId="0" applyFont="1" applyFill="1" applyBorder="1" applyAlignment="1">
      <alignment horizontal="center" vertical="center" wrapText="1"/>
    </xf>
    <xf numFmtId="0" fontId="34" fillId="4" borderId="112" xfId="0" applyFont="1" applyFill="1" applyBorder="1" applyAlignment="1">
      <alignment horizontal="center" vertical="center"/>
    </xf>
    <xf numFmtId="0" fontId="34" fillId="4" borderId="113" xfId="0" applyFont="1" applyFill="1" applyBorder="1" applyAlignment="1">
      <alignment horizontal="center" vertical="center"/>
    </xf>
    <xf numFmtId="0" fontId="34" fillId="4" borderId="114" xfId="0" applyFont="1" applyFill="1" applyBorder="1" applyAlignment="1">
      <alignment horizontal="center" vertical="center"/>
    </xf>
    <xf numFmtId="0" fontId="34" fillId="4" borderId="108" xfId="0" applyFont="1" applyFill="1" applyBorder="1" applyAlignment="1">
      <alignment horizontal="center" vertical="center"/>
    </xf>
    <xf numFmtId="0" fontId="34" fillId="4" borderId="0" xfId="0" applyFont="1" applyFill="1" applyAlignment="1">
      <alignment horizontal="center" vertical="center"/>
    </xf>
    <xf numFmtId="0" fontId="34" fillId="4" borderId="107" xfId="0" applyFont="1" applyFill="1" applyBorder="1" applyAlignment="1">
      <alignment horizontal="center" vertical="center"/>
    </xf>
    <xf numFmtId="0" fontId="34" fillId="4" borderId="48" xfId="0" applyFont="1" applyFill="1" applyBorder="1" applyAlignment="1">
      <alignment horizontal="center" vertical="center"/>
    </xf>
    <xf numFmtId="0" fontId="34" fillId="4" borderId="110" xfId="0" applyFont="1" applyFill="1" applyBorder="1" applyAlignment="1">
      <alignment horizontal="center" vertical="center"/>
    </xf>
    <xf numFmtId="0" fontId="34" fillId="4" borderId="111" xfId="0" applyFont="1" applyFill="1" applyBorder="1" applyAlignment="1">
      <alignment horizontal="center" vertical="center"/>
    </xf>
    <xf numFmtId="43" fontId="34" fillId="45" borderId="43" xfId="19" applyFont="1" applyFill="1" applyBorder="1" applyAlignment="1">
      <alignment horizontal="center" vertical="center"/>
    </xf>
    <xf numFmtId="43" fontId="34" fillId="45" borderId="45" xfId="19" applyFont="1" applyFill="1" applyBorder="1" applyAlignment="1">
      <alignment horizontal="center" vertical="center"/>
    </xf>
    <xf numFmtId="0" fontId="24" fillId="60" borderId="47" xfId="0" applyFont="1" applyFill="1" applyBorder="1" applyAlignment="1">
      <alignment horizontal="center" vertical="center"/>
    </xf>
    <xf numFmtId="0" fontId="22" fillId="47" borderId="41" xfId="0" applyFont="1" applyFill="1" applyBorder="1" applyAlignment="1">
      <alignment horizontal="left" vertical="center"/>
    </xf>
    <xf numFmtId="0" fontId="33" fillId="47" borderId="42" xfId="0" applyFont="1" applyFill="1" applyBorder="1" applyAlignment="1">
      <alignment horizontal="center" vertical="center" wrapText="1"/>
    </xf>
    <xf numFmtId="0" fontId="28" fillId="38" borderId="42" xfId="0" applyFont="1" applyFill="1" applyBorder="1" applyAlignment="1">
      <alignment horizontal="center" vertical="center" wrapText="1"/>
    </xf>
    <xf numFmtId="0" fontId="27" fillId="43" borderId="41" xfId="0" applyFont="1" applyFill="1" applyBorder="1" applyAlignment="1">
      <alignment horizontal="justify" vertical="center" wrapText="1"/>
    </xf>
    <xf numFmtId="0" fontId="32" fillId="38" borderId="42" xfId="0" applyFont="1" applyFill="1" applyBorder="1" applyAlignment="1">
      <alignment horizontal="center" vertical="center" wrapText="1"/>
    </xf>
    <xf numFmtId="0" fontId="32" fillId="73" borderId="42" xfId="0" applyFont="1" applyFill="1" applyBorder="1" applyAlignment="1" applyProtection="1">
      <alignment horizontal="center" vertical="center" wrapText="1"/>
      <protection locked="0"/>
    </xf>
    <xf numFmtId="0" fontId="32" fillId="73" borderId="42" xfId="0" applyFont="1" applyFill="1" applyBorder="1" applyAlignment="1">
      <alignment horizontal="center" vertical="center" wrapText="1"/>
    </xf>
    <xf numFmtId="0" fontId="33" fillId="47" borderId="43" xfId="0" applyFont="1" applyFill="1" applyBorder="1" applyAlignment="1">
      <alignment horizontal="center" vertical="center" wrapText="1"/>
    </xf>
    <xf numFmtId="0" fontId="33" fillId="47" borderId="44" xfId="0" applyFont="1" applyFill="1" applyBorder="1" applyAlignment="1">
      <alignment horizontal="center" vertical="center" wrapText="1"/>
    </xf>
    <xf numFmtId="0" fontId="33" fillId="47" borderId="45" xfId="0" applyFont="1" applyFill="1" applyBorder="1" applyAlignment="1">
      <alignment horizontal="center" vertical="center" wrapText="1"/>
    </xf>
    <xf numFmtId="0" fontId="28" fillId="43" borderId="42" xfId="0" applyFont="1" applyFill="1" applyBorder="1" applyAlignment="1">
      <alignment horizontal="center" vertical="center" wrapText="1"/>
    </xf>
    <xf numFmtId="0" fontId="24" fillId="60" borderId="0" xfId="0" applyFont="1" applyFill="1" applyAlignment="1">
      <alignment horizontal="center" vertical="center"/>
    </xf>
    <xf numFmtId="0" fontId="34" fillId="73" borderId="42" xfId="0" applyFont="1" applyFill="1" applyBorder="1" applyAlignment="1" applyProtection="1">
      <alignment horizontal="center" vertical="center" wrapText="1"/>
      <protection locked="0"/>
    </xf>
    <xf numFmtId="0" fontId="34" fillId="73" borderId="42" xfId="0" applyFont="1" applyFill="1" applyBorder="1" applyAlignment="1">
      <alignment horizontal="center" vertical="center" wrapText="1"/>
    </xf>
    <xf numFmtId="0" fontId="63" fillId="62" borderId="42" xfId="0" applyFont="1" applyFill="1" applyBorder="1" applyAlignment="1">
      <alignment horizontal="right" vertical="center" wrapText="1"/>
    </xf>
    <xf numFmtId="0" fontId="0" fillId="60" borderId="0" xfId="0" applyFill="1" applyAlignment="1">
      <alignment horizontal="center" vertical="center"/>
    </xf>
    <xf numFmtId="49" fontId="27" fillId="43" borderId="109" xfId="0" applyNumberFormat="1" applyFont="1" applyFill="1" applyBorder="1" applyAlignment="1">
      <alignment horizontal="justify" vertical="center" wrapText="1"/>
    </xf>
    <xf numFmtId="49" fontId="27" fillId="43" borderId="0" xfId="0" applyNumberFormat="1" applyFont="1" applyFill="1" applyAlignment="1">
      <alignment horizontal="justify" vertical="center" wrapText="1"/>
    </xf>
    <xf numFmtId="0" fontId="27" fillId="43" borderId="109" xfId="0" applyFont="1" applyFill="1" applyBorder="1" applyAlignment="1">
      <alignment horizontal="justify" vertical="center"/>
    </xf>
    <xf numFmtId="0" fontId="27" fillId="43" borderId="0" xfId="0" applyFont="1" applyFill="1" applyAlignment="1">
      <alignment horizontal="justify" vertical="center"/>
    </xf>
    <xf numFmtId="0" fontId="27" fillId="43" borderId="41" xfId="0" applyFont="1" applyFill="1" applyBorder="1" applyAlignment="1">
      <alignment horizontal="justify" vertical="center"/>
    </xf>
    <xf numFmtId="0" fontId="34" fillId="43" borderId="42" xfId="0" applyFont="1" applyFill="1" applyBorder="1" applyAlignment="1">
      <alignment horizontal="center" vertical="center" wrapText="1"/>
    </xf>
    <xf numFmtId="0" fontId="0" fillId="4" borderId="112" xfId="0" applyFill="1" applyBorder="1" applyAlignment="1">
      <alignment horizontal="center" vertical="center"/>
    </xf>
    <xf numFmtId="0" fontId="0" fillId="4" borderId="113" xfId="0" applyFill="1" applyBorder="1" applyAlignment="1">
      <alignment horizontal="center" vertical="center"/>
    </xf>
    <xf numFmtId="0" fontId="0" fillId="4" borderId="114" xfId="0" applyFill="1" applyBorder="1" applyAlignment="1">
      <alignment horizontal="center" vertical="center"/>
    </xf>
    <xf numFmtId="0" fontId="0" fillId="4" borderId="108" xfId="0" applyFill="1" applyBorder="1" applyAlignment="1">
      <alignment horizontal="center" vertical="center"/>
    </xf>
    <xf numFmtId="0" fontId="0" fillId="4" borderId="0" xfId="0" applyFill="1" applyAlignment="1">
      <alignment horizontal="center" vertical="center"/>
    </xf>
    <xf numFmtId="0" fontId="0" fillId="4" borderId="107" xfId="0" applyFill="1" applyBorder="1" applyAlignment="1">
      <alignment horizontal="center" vertical="center"/>
    </xf>
    <xf numFmtId="0" fontId="0" fillId="4" borderId="48" xfId="0" applyFill="1" applyBorder="1" applyAlignment="1">
      <alignment horizontal="center" vertical="center"/>
    </xf>
    <xf numFmtId="0" fontId="0" fillId="4" borderId="110" xfId="0" applyFill="1" applyBorder="1" applyAlignment="1">
      <alignment horizontal="center" vertical="center"/>
    </xf>
    <xf numFmtId="0" fontId="0" fillId="4" borderId="111" xfId="0" applyFill="1" applyBorder="1" applyAlignment="1">
      <alignment horizontal="center" vertical="center"/>
    </xf>
    <xf numFmtId="0" fontId="8" fillId="45" borderId="19" xfId="57" applyFill="1" applyBorder="1" applyAlignment="1">
      <alignment vertical="center"/>
    </xf>
    <xf numFmtId="0" fontId="8" fillId="74" borderId="20" xfId="57" applyFill="1" applyBorder="1" applyAlignment="1">
      <alignment horizontal="center" vertical="center" wrapText="1"/>
    </xf>
    <xf numFmtId="0" fontId="8" fillId="74" borderId="34" xfId="57" applyFill="1" applyBorder="1" applyAlignment="1">
      <alignment horizontal="center" vertical="center" wrapText="1"/>
    </xf>
    <xf numFmtId="0" fontId="8" fillId="74" borderId="22" xfId="57" applyFill="1" applyBorder="1" applyAlignment="1">
      <alignment horizontal="center" vertical="center" wrapText="1"/>
    </xf>
    <xf numFmtId="0" fontId="8" fillId="0" borderId="19" xfId="57" applyBorder="1" applyAlignment="1">
      <alignment horizontal="left" vertical="center" wrapText="1"/>
    </xf>
    <xf numFmtId="0" fontId="1" fillId="44" borderId="19" xfId="57" applyFont="1" applyFill="1" applyBorder="1" applyAlignment="1">
      <alignment horizontal="center" vertical="center" wrapText="1" shrinkToFit="1"/>
    </xf>
    <xf numFmtId="0" fontId="20" fillId="0" borderId="19" xfId="57" applyFont="1" applyBorder="1" applyAlignment="1">
      <alignment horizontal="right" vertical="center" wrapText="1"/>
    </xf>
    <xf numFmtId="0" fontId="8" fillId="0" borderId="19" xfId="57" quotePrefix="1" applyBorder="1" applyAlignment="1">
      <alignment horizontal="left" vertical="center" wrapText="1"/>
    </xf>
    <xf numFmtId="0" fontId="17" fillId="44" borderId="20" xfId="57" applyFont="1" applyFill="1" applyBorder="1" applyAlignment="1">
      <alignment horizontal="left" vertical="center" wrapText="1" shrinkToFit="1"/>
    </xf>
    <xf numFmtId="0" fontId="17" fillId="44" borderId="34" xfId="57" applyFont="1" applyFill="1" applyBorder="1" applyAlignment="1">
      <alignment horizontal="left" vertical="center" wrapText="1" shrinkToFit="1"/>
    </xf>
    <xf numFmtId="0" fontId="17" fillId="44" borderId="22" xfId="57" applyFont="1" applyFill="1" applyBorder="1" applyAlignment="1">
      <alignment horizontal="left" vertical="center" wrapText="1" shrinkToFit="1"/>
    </xf>
    <xf numFmtId="0" fontId="17" fillId="44" borderId="24" xfId="57" applyFont="1" applyFill="1" applyBorder="1" applyAlignment="1">
      <alignment horizontal="center" vertical="center" wrapText="1" shrinkToFit="1"/>
    </xf>
    <xf numFmtId="0" fontId="17" fillId="44" borderId="17" xfId="57" applyFont="1" applyFill="1" applyBorder="1" applyAlignment="1">
      <alignment horizontal="center" vertical="center" wrapText="1" shrinkToFit="1"/>
    </xf>
    <xf numFmtId="0" fontId="17" fillId="44" borderId="18" xfId="57" applyFont="1" applyFill="1" applyBorder="1" applyAlignment="1">
      <alignment horizontal="center" vertical="center" wrapText="1" shrinkToFit="1"/>
    </xf>
    <xf numFmtId="0" fontId="20" fillId="45" borderId="19" xfId="57" applyFont="1" applyFill="1" applyBorder="1" applyAlignment="1">
      <alignment horizontal="left" vertical="center" wrapText="1"/>
    </xf>
    <xf numFmtId="0" fontId="8" fillId="0" borderId="20" xfId="57" applyBorder="1" applyAlignment="1">
      <alignment horizontal="center" vertical="center" wrapText="1"/>
    </xf>
    <xf numFmtId="0" fontId="8" fillId="0" borderId="22" xfId="57" applyBorder="1" applyAlignment="1">
      <alignment horizontal="center" vertical="center" wrapText="1"/>
    </xf>
    <xf numFmtId="0" fontId="8" fillId="0" borderId="20" xfId="57" applyBorder="1" applyAlignment="1">
      <alignment horizontal="left" vertical="center" wrapText="1"/>
    </xf>
    <xf numFmtId="0" fontId="8" fillId="0" borderId="34" xfId="57" applyBorder="1" applyAlignment="1">
      <alignment horizontal="left" vertical="center" wrapText="1"/>
    </xf>
    <xf numFmtId="0" fontId="8" fillId="0" borderId="22" xfId="57" applyBorder="1" applyAlignment="1">
      <alignment horizontal="left" vertical="center" wrapText="1"/>
    </xf>
    <xf numFmtId="0" fontId="8" fillId="74" borderId="27" xfId="57" applyFill="1" applyBorder="1" applyAlignment="1">
      <alignment horizontal="center" vertical="center"/>
    </xf>
    <xf numFmtId="0" fontId="8" fillId="74" borderId="33" xfId="57" applyFill="1" applyBorder="1" applyAlignment="1">
      <alignment horizontal="center" vertical="center"/>
    </xf>
    <xf numFmtId="0" fontId="8" fillId="74" borderId="37" xfId="57" applyFill="1" applyBorder="1" applyAlignment="1">
      <alignment horizontal="center" vertical="center"/>
    </xf>
    <xf numFmtId="0" fontId="8" fillId="74" borderId="24" xfId="57" applyFill="1" applyBorder="1" applyAlignment="1">
      <alignment horizontal="center" vertical="center"/>
    </xf>
    <xf numFmtId="0" fontId="8" fillId="74" borderId="17" xfId="57" applyFill="1" applyBorder="1" applyAlignment="1">
      <alignment horizontal="center" vertical="center"/>
    </xf>
    <xf numFmtId="0" fontId="8" fillId="74" borderId="18" xfId="57" applyFill="1" applyBorder="1" applyAlignment="1">
      <alignment horizontal="center" vertical="center"/>
    </xf>
    <xf numFmtId="0" fontId="8" fillId="0" borderId="20" xfId="57" applyBorder="1" applyAlignment="1">
      <alignment vertical="center"/>
    </xf>
    <xf numFmtId="0" fontId="8" fillId="0" borderId="22" xfId="57" applyBorder="1" applyAlignment="1">
      <alignment vertical="center"/>
    </xf>
    <xf numFmtId="0" fontId="8" fillId="0" borderId="19" xfId="57" quotePrefix="1" applyBorder="1" applyAlignment="1">
      <alignment horizontal="center" vertical="center" wrapText="1"/>
    </xf>
    <xf numFmtId="0" fontId="8" fillId="45" borderId="20" xfId="57" applyFill="1" applyBorder="1" applyAlignment="1">
      <alignment vertical="center" wrapText="1"/>
    </xf>
    <xf numFmtId="0" fontId="8" fillId="45" borderId="22" xfId="57" applyFill="1" applyBorder="1" applyAlignment="1">
      <alignment vertical="center" wrapText="1"/>
    </xf>
    <xf numFmtId="0" fontId="20" fillId="45" borderId="20" xfId="57" applyFont="1" applyFill="1" applyBorder="1" applyAlignment="1">
      <alignment horizontal="center" vertical="center" wrapText="1"/>
    </xf>
    <xf numFmtId="0" fontId="20" fillId="45" borderId="22" xfId="57" applyFont="1" applyFill="1" applyBorder="1" applyAlignment="1">
      <alignment horizontal="center" vertical="center" wrapText="1"/>
    </xf>
    <xf numFmtId="0" fontId="1" fillId="44" borderId="19" xfId="57" applyFont="1" applyFill="1" applyBorder="1" applyAlignment="1">
      <alignment vertical="center" wrapText="1" shrinkToFit="1"/>
    </xf>
    <xf numFmtId="0" fontId="1" fillId="44" borderId="19" xfId="57" applyFont="1" applyFill="1" applyBorder="1" applyAlignment="1">
      <alignment horizontal="center" vertical="center" wrapText="1"/>
    </xf>
    <xf numFmtId="0" fontId="8" fillId="0" borderId="19" xfId="57" applyBorder="1" applyAlignment="1">
      <alignment vertical="center" wrapText="1" shrinkToFit="1"/>
    </xf>
    <xf numFmtId="0" fontId="8" fillId="74" borderId="27" xfId="57" applyFill="1" applyBorder="1" applyAlignment="1">
      <alignment horizontal="center" vertical="center" wrapText="1"/>
    </xf>
    <xf numFmtId="0" fontId="8" fillId="74" borderId="33" xfId="57" applyFill="1" applyBorder="1" applyAlignment="1">
      <alignment horizontal="center" vertical="center" wrapText="1"/>
    </xf>
    <xf numFmtId="0" fontId="8" fillId="74" borderId="37" xfId="57" applyFill="1" applyBorder="1" applyAlignment="1">
      <alignment horizontal="center" vertical="center" wrapText="1"/>
    </xf>
    <xf numFmtId="0" fontId="8" fillId="74" borderId="24" xfId="57" applyFill="1" applyBorder="1" applyAlignment="1">
      <alignment horizontal="center" vertical="center" wrapText="1"/>
    </xf>
    <xf numFmtId="0" fontId="8" fillId="74" borderId="17" xfId="57" applyFill="1" applyBorder="1" applyAlignment="1">
      <alignment horizontal="center" vertical="center" wrapText="1"/>
    </xf>
    <xf numFmtId="0" fontId="8" fillId="74" borderId="18" xfId="57" applyFill="1" applyBorder="1" applyAlignment="1">
      <alignment horizontal="center" vertical="center" wrapText="1"/>
    </xf>
    <xf numFmtId="0" fontId="20" fillId="0" borderId="20" xfId="57" applyFont="1" applyBorder="1" applyAlignment="1">
      <alignment horizontal="center" vertical="center" wrapText="1" shrinkToFit="1"/>
    </xf>
    <xf numFmtId="0" fontId="20" fillId="0" borderId="22" xfId="57" applyFont="1" applyBorder="1" applyAlignment="1">
      <alignment horizontal="center" vertical="center" wrapText="1" shrinkToFit="1"/>
    </xf>
    <xf numFmtId="0" fontId="17" fillId="70" borderId="0" xfId="0" applyFont="1" applyFill="1" applyAlignment="1">
      <alignment horizontal="center" vertical="center"/>
    </xf>
    <xf numFmtId="0" fontId="34" fillId="73" borderId="85" xfId="0" applyFont="1" applyFill="1" applyBorder="1" applyAlignment="1" applyProtection="1">
      <alignment horizontal="center" vertical="center" wrapText="1"/>
      <protection locked="0"/>
    </xf>
    <xf numFmtId="0" fontId="34" fillId="73" borderId="86" xfId="0" applyFont="1" applyFill="1" applyBorder="1" applyAlignment="1" applyProtection="1">
      <alignment horizontal="center" vertical="center" wrapText="1"/>
      <protection locked="0"/>
    </xf>
    <xf numFmtId="0" fontId="24" fillId="70" borderId="0" xfId="0" applyFont="1" applyFill="1" applyAlignment="1">
      <alignment horizontal="center" vertical="center"/>
    </xf>
    <xf numFmtId="0" fontId="22" fillId="71" borderId="70" xfId="0" applyFont="1" applyFill="1" applyBorder="1" applyAlignment="1">
      <alignment horizontal="left" vertical="center"/>
    </xf>
    <xf numFmtId="0" fontId="34" fillId="73" borderId="40" xfId="0" applyFont="1" applyFill="1" applyBorder="1" applyAlignment="1" applyProtection="1">
      <alignment horizontal="center" vertical="center" wrapText="1"/>
      <protection locked="0"/>
    </xf>
    <xf numFmtId="0" fontId="34" fillId="73" borderId="0" xfId="0" applyFont="1" applyFill="1" applyAlignment="1" applyProtection="1">
      <alignment horizontal="center" vertical="center" wrapText="1"/>
      <protection locked="0"/>
    </xf>
    <xf numFmtId="49" fontId="27" fillId="43" borderId="13" xfId="0" applyNumberFormat="1" applyFont="1" applyFill="1" applyBorder="1" applyAlignment="1">
      <alignment horizontal="justify" vertical="center" wrapText="1"/>
    </xf>
    <xf numFmtId="0" fontId="34" fillId="73" borderId="71" xfId="0" applyFont="1" applyFill="1" applyBorder="1" applyAlignment="1" applyProtection="1">
      <alignment horizontal="center" vertical="center" wrapText="1"/>
      <protection locked="0"/>
    </xf>
    <xf numFmtId="43" fontId="28" fillId="71" borderId="0" xfId="19" applyFont="1" applyFill="1" applyBorder="1" applyAlignment="1">
      <alignment horizontal="center" vertical="center"/>
    </xf>
    <xf numFmtId="0" fontId="57" fillId="43" borderId="103" xfId="0" applyFont="1" applyFill="1" applyBorder="1" applyAlignment="1">
      <alignment horizontal="left" vertical="center" wrapText="1"/>
    </xf>
    <xf numFmtId="0" fontId="27" fillId="43" borderId="13" xfId="0" applyFont="1" applyFill="1" applyBorder="1" applyAlignment="1">
      <alignment horizontal="justify" vertical="center"/>
    </xf>
    <xf numFmtId="0" fontId="32" fillId="73" borderId="40" xfId="0" applyFont="1" applyFill="1" applyBorder="1" applyAlignment="1" applyProtection="1">
      <alignment horizontal="center" vertical="center" wrapText="1"/>
      <protection locked="0"/>
    </xf>
    <xf numFmtId="0" fontId="0" fillId="70" borderId="0" xfId="0" applyFill="1" applyAlignment="1">
      <alignment horizontal="center" vertical="center"/>
    </xf>
    <xf numFmtId="0" fontId="22" fillId="71" borderId="98" xfId="0" applyFont="1" applyFill="1" applyBorder="1" applyAlignment="1">
      <alignment horizontal="left" vertical="center"/>
    </xf>
    <xf numFmtId="0" fontId="26" fillId="0" borderId="0" xfId="0" applyFont="1" applyAlignment="1">
      <alignment horizontal="center" vertical="center"/>
    </xf>
    <xf numFmtId="0" fontId="26" fillId="0" borderId="50" xfId="0" applyFont="1" applyBorder="1" applyAlignment="1">
      <alignment horizontal="center" vertical="center"/>
    </xf>
    <xf numFmtId="0" fontId="20" fillId="0" borderId="24" xfId="0" applyFont="1" applyBorder="1" applyAlignment="1">
      <alignment horizontal="center" vertical="center"/>
    </xf>
  </cellXfs>
  <cellStyles count="61">
    <cellStyle name="20% - Énfasis1" xfId="36" builtinId="30" customBuiltin="1"/>
    <cellStyle name="20% - Énfasis2" xfId="39" builtinId="34" customBuiltin="1"/>
    <cellStyle name="20% - Énfasis3" xfId="42" builtinId="38" customBuiltin="1"/>
    <cellStyle name="20% - Énfasis4" xfId="46" builtinId="42" customBuiltin="1"/>
    <cellStyle name="20% - Énfasis5" xfId="50" builtinId="46" customBuiltin="1"/>
    <cellStyle name="20% - Énfasis6" xfId="54" builtinId="50" customBuiltin="1"/>
    <cellStyle name="40% - Énfasis1" xfId="37" builtinId="31" customBuiltin="1"/>
    <cellStyle name="40% - Énfasis2" xfId="40" builtinId="35" customBuiltin="1"/>
    <cellStyle name="40% - Énfasis3" xfId="43" builtinId="39" customBuiltin="1"/>
    <cellStyle name="40% - Énfasis4" xfId="47" builtinId="43" customBuiltin="1"/>
    <cellStyle name="40% - Énfasis5" xfId="51" builtinId="47" customBuiltin="1"/>
    <cellStyle name="40% - Énfasis6" xfId="55" builtinId="51" customBuiltin="1"/>
    <cellStyle name="60% - Énfasis1" xfId="38" builtinId="32" customBuiltin="1"/>
    <cellStyle name="60% - Énfasis2" xfId="41" builtinId="36" customBuiltin="1"/>
    <cellStyle name="60% - Énfasis3" xfId="44" builtinId="40" customBuiltin="1"/>
    <cellStyle name="60% - Énfasis4" xfId="48" builtinId="44" customBuiltin="1"/>
    <cellStyle name="60% - Énfasis5" xfId="52" builtinId="48" customBuiltin="1"/>
    <cellStyle name="60% - Énfasis6" xfId="56" builtinId="52" customBuiltin="1"/>
    <cellStyle name="Borde blanco" xfId="13" xr:uid="{00000000-0005-0000-0000-000012000000}"/>
    <cellStyle name="Bueno" xfId="24" builtinId="26" customBuiltin="1"/>
    <cellStyle name="Cálculo" xfId="29" builtinId="22" customBuiltin="1"/>
    <cellStyle name="Celda de comprobación" xfId="31" builtinId="23" customBuiltin="1"/>
    <cellStyle name="Celda vinculada" xfId="30" builtinId="24" customBuiltin="1"/>
    <cellStyle name="Encabezado 1" xfId="1" builtinId="16" customBuiltin="1"/>
    <cellStyle name="Encabezado 4" xfId="10" builtinId="19" customBuiltin="1"/>
    <cellStyle name="Énfasis1" xfId="4" builtinId="29" customBuiltin="1"/>
    <cellStyle name="Énfasis2" xfId="5" builtinId="33" customBuiltin="1"/>
    <cellStyle name="Énfasis3" xfId="6" builtinId="37" customBuiltin="1"/>
    <cellStyle name="Énfasis4" xfId="45" builtinId="41" customBuiltin="1"/>
    <cellStyle name="Énfasis5" xfId="49" builtinId="45" customBuiltin="1"/>
    <cellStyle name="Énfasis6" xfId="53" builtinId="49" customBuiltin="1"/>
    <cellStyle name="Entrada" xfId="27" builtinId="20" customBuiltin="1"/>
    <cellStyle name="Fecha" xfId="14" xr:uid="{00000000-0005-0000-0000-000003000000}"/>
    <cellStyle name="Hipervínculo" xfId="11" builtinId="8" customBuiltin="1"/>
    <cellStyle name="Hipervínculo 2" xfId="58" xr:uid="{2250909C-2BD6-4BB4-8255-EFF5308FBF71}"/>
    <cellStyle name="Hipervínculo 3" xfId="59" xr:uid="{9459B9BE-82D0-443A-9516-1FAF80251521}"/>
    <cellStyle name="Hipervínculo visitado" xfId="12" builtinId="9" customBuiltin="1"/>
    <cellStyle name="Hora" xfId="17" xr:uid="{00000000-0005-0000-0000-00000F000000}"/>
    <cellStyle name="Incorrecto" xfId="25" builtinId="27" customBuiltin="1"/>
    <cellStyle name="Millares" xfId="19" builtinId="3" customBuiltin="1"/>
    <cellStyle name="Millares [0]" xfId="20" builtinId="6" customBuiltin="1"/>
    <cellStyle name="Moneda" xfId="21" builtinId="4" customBuiltin="1"/>
    <cellStyle name="Moneda [0]" xfId="22" builtinId="7" customBuiltin="1"/>
    <cellStyle name="Neutral" xfId="26" builtinId="28" customBuiltin="1"/>
    <cellStyle name="Normal" xfId="0" builtinId="0" customBuiltin="1"/>
    <cellStyle name="Normal 2" xfId="57" xr:uid="{9D5F0CFE-D059-4ED1-93FB-FCFFE9D0B182}"/>
    <cellStyle name="Normal_Datos_cultivo" xfId="60" xr:uid="{A4BB176E-E0DC-4070-8B41-E9C4F501E1A5}"/>
    <cellStyle name="Notas" xfId="33" builtinId="10" customBuiltin="1"/>
    <cellStyle name="Número" xfId="16" xr:uid="{00000000-0005-0000-0000-00000B000000}"/>
    <cellStyle name="Peso" xfId="15" xr:uid="{00000000-0005-0000-0000-000011000000}"/>
    <cellStyle name="Porcentaje" xfId="23" builtinId="5" customBuiltin="1"/>
    <cellStyle name="Salida" xfId="28" builtinId="21" customBuiltin="1"/>
    <cellStyle name="Texto de advertencia" xfId="32" builtinId="11" customBuiltin="1"/>
    <cellStyle name="Texto explicativo" xfId="34" builtinId="53" customBuiltin="1"/>
    <cellStyle name="Título" xfId="18" builtinId="15" customBuiltin="1"/>
    <cellStyle name="Título 1 de barra lateral" xfId="7" xr:uid="{00000000-0005-0000-0000-00000C000000}"/>
    <cellStyle name="Título 2" xfId="2" builtinId="17" customBuiltin="1"/>
    <cellStyle name="Título 2 de barra lateral" xfId="8" xr:uid="{00000000-0005-0000-0000-00000D000000}"/>
    <cellStyle name="Título 3" xfId="3" builtinId="18" customBuiltin="1"/>
    <cellStyle name="Título 3 de barra lateral" xfId="9" xr:uid="{00000000-0005-0000-0000-00000E000000}"/>
    <cellStyle name="Total" xfId="35" builtinId="25" customBuiltin="1"/>
  </cellStyles>
  <dxfs count="75">
    <dxf>
      <font>
        <color theme="3"/>
      </font>
      <fill>
        <patternFill>
          <bgColor theme="7" tint="0.39994506668294322"/>
        </patternFill>
      </fill>
    </dxf>
    <dxf>
      <font>
        <color theme="3"/>
      </font>
      <fill>
        <patternFill>
          <bgColor theme="7" tint="0.39994506668294322"/>
        </patternFill>
      </fill>
    </dxf>
    <dxf>
      <font>
        <color theme="0"/>
      </font>
    </dxf>
    <dxf>
      <font>
        <color theme="0"/>
      </font>
    </dxf>
    <dxf>
      <font>
        <color theme="5" tint="-0.499984740745262"/>
      </font>
      <fill>
        <patternFill>
          <bgColor theme="5" tint="-0.499984740745262"/>
        </patternFill>
      </fill>
    </dxf>
    <dxf>
      <font>
        <color theme="5" tint="-0.499984740745262"/>
      </font>
      <fill>
        <patternFill>
          <bgColor theme="5" tint="-0.499984740745262"/>
        </patternFill>
      </fill>
    </dxf>
    <dxf>
      <font>
        <color theme="5" tint="-0.499984740745262"/>
      </font>
      <fill>
        <patternFill>
          <bgColor theme="5" tint="-0.499984740745262"/>
        </patternFill>
      </fill>
    </dxf>
    <dxf>
      <font>
        <color theme="5" tint="-0.499984740745262"/>
      </font>
      <fill>
        <patternFill>
          <bgColor theme="5" tint="-0.499984740745262"/>
        </patternFill>
      </fill>
    </dxf>
    <dxf>
      <font>
        <color theme="5" tint="-0.499984740745262"/>
      </font>
      <fill>
        <patternFill>
          <bgColor theme="5" tint="-0.499984740745262"/>
        </patternFill>
      </fill>
    </dxf>
    <dxf>
      <font>
        <color theme="5" tint="-0.499984740745262"/>
      </font>
      <fill>
        <patternFill>
          <bgColor theme="5" tint="-0.499984740745262"/>
        </patternFill>
      </fill>
    </dxf>
    <dxf>
      <font>
        <color theme="5" tint="-0.499984740745262"/>
      </font>
      <fill>
        <patternFill>
          <bgColor theme="5" tint="-0.499984740745262"/>
        </patternFill>
      </fill>
    </dxf>
    <dxf>
      <font>
        <color theme="5" tint="-0.499984740745262"/>
      </font>
      <fill>
        <patternFill>
          <bgColor theme="5" tint="-0.499984740745262"/>
        </patternFill>
      </fill>
    </dxf>
    <dxf>
      <font>
        <color theme="5" tint="-0.499984740745262"/>
      </font>
      <fill>
        <patternFill>
          <bgColor theme="5" tint="-0.499984740745262"/>
        </patternFill>
      </fill>
    </dxf>
    <dxf>
      <numFmt numFmtId="1" formatCode="0"/>
      <fill>
        <patternFill patternType="none">
          <fgColor indexed="64"/>
          <bgColor auto="1"/>
        </patternFill>
      </fill>
      <alignment horizontal="right" vertical="bottom" textRotation="0" justifyLastLine="0" shrinkToFit="0" readingOrder="0"/>
    </dxf>
    <dxf>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style="thin">
          <color indexed="64"/>
        </top>
        <bottom style="thin">
          <color indexed="64"/>
        </bottom>
      </border>
    </dxf>
    <dxf>
      <numFmt numFmtId="1" formatCode="0"/>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alignment horizontal="right" vertical="bottom" textRotation="0" justifyLastLine="0" shrinkToFit="0" readingOrder="0"/>
    </dxf>
    <dxf>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style="thin">
          <color indexed="64"/>
        </top>
        <bottom style="thin">
          <color indexed="64"/>
        </bottom>
      </border>
    </dxf>
    <dxf>
      <numFmt numFmtId="1" formatCode="0"/>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ont>
        <color theme="3"/>
      </font>
      <fill>
        <patternFill>
          <bgColor theme="7" tint="0.39994506668294322"/>
        </patternFill>
      </fill>
    </dxf>
    <dxf>
      <font>
        <color theme="3"/>
      </font>
      <fill>
        <patternFill>
          <bgColor theme="7" tint="0.39994506668294322"/>
        </patternFill>
      </fill>
    </dxf>
    <dxf>
      <font>
        <color theme="3"/>
      </font>
      <fill>
        <patternFill>
          <bgColor theme="7" tint="0.39994506668294322"/>
        </patternFill>
      </fill>
    </dxf>
    <dxf>
      <font>
        <color theme="3"/>
      </font>
      <fill>
        <patternFill>
          <bgColor theme="7" tint="0.39994506668294322"/>
        </patternFill>
      </fill>
    </dxf>
    <dxf>
      <font>
        <color theme="3"/>
      </font>
      <fill>
        <patternFill>
          <bgColor theme="7" tint="0.39994506668294322"/>
        </patternFill>
      </fill>
    </dxf>
    <dxf>
      <fill>
        <patternFill>
          <bgColor theme="0" tint="-4.9989318521683403E-2"/>
        </patternFill>
      </fill>
    </dxf>
    <dxf>
      <font>
        <color auto="1"/>
      </font>
    </dxf>
    <dxf>
      <font>
        <color theme="6" tint="0.79998168889431442"/>
      </font>
    </dxf>
    <dxf>
      <fill>
        <patternFill>
          <bgColor rgb="FFF0F3F4"/>
        </patternFill>
      </fill>
    </dxf>
    <dxf>
      <font>
        <color rgb="FFDAE2E5"/>
      </font>
      <fill>
        <patternFill patternType="solid">
          <bgColor rgb="FFDAE2E5"/>
        </patternFill>
      </fill>
    </dxf>
    <dxf>
      <font>
        <color rgb="FFDAE2E5"/>
      </font>
      <fill>
        <patternFill patternType="solid">
          <fgColor indexed="64"/>
          <bgColor rgb="FFDAE2E5"/>
        </patternFill>
      </fill>
    </dxf>
    <dxf>
      <fill>
        <patternFill patternType="none">
          <fgColor indexed="64"/>
          <bgColor auto="1"/>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bottom"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ont>
        <color rgb="FFDAE2E5"/>
      </font>
      <fill>
        <patternFill>
          <bgColor rgb="FFDAE2E5"/>
        </patternFill>
      </fill>
    </dxf>
    <dxf>
      <font>
        <color rgb="FFDAE2E5"/>
      </font>
      <fill>
        <patternFill>
          <bgColor rgb="FFDAE2E5"/>
        </patternFill>
      </fill>
    </dxf>
    <dxf>
      <font>
        <color rgb="FFDAE2E5"/>
      </font>
      <fill>
        <patternFill>
          <bgColor rgb="FFDAE2E5"/>
        </patternFill>
      </fill>
    </dxf>
    <dxf>
      <font>
        <color rgb="FFDAE2E5"/>
      </font>
      <fill>
        <patternFill>
          <bgColor rgb="FFDAE2E5"/>
        </patternFill>
      </fill>
    </dxf>
    <dxf>
      <font>
        <color rgb="FFDAE2E5"/>
      </font>
    </dxf>
    <dxf>
      <font>
        <color rgb="FFDAE2E5"/>
      </font>
    </dxf>
    <dxf>
      <font>
        <color rgb="FFDAE2E5"/>
      </font>
      <fill>
        <patternFill>
          <bgColor rgb="FFDAE2E5"/>
        </patternFill>
      </fill>
    </dxf>
    <dxf>
      <font>
        <color rgb="FFDAE2E5"/>
      </font>
    </dxf>
    <dxf>
      <font>
        <color theme="3"/>
      </font>
      <fill>
        <patternFill>
          <bgColor theme="7" tint="0.39994506668294322"/>
        </patternFill>
      </fill>
    </dxf>
    <dxf>
      <font>
        <color rgb="FFDAE2E5"/>
      </font>
      <fill>
        <patternFill patternType="solid">
          <bgColor rgb="FFDAE2E5"/>
        </patternFill>
      </fill>
    </dxf>
    <dxf>
      <font>
        <color rgb="FFDAE2E5"/>
      </font>
      <fill>
        <patternFill>
          <fgColor rgb="FFDAE2E5"/>
          <bgColor rgb="FFDAE2E5"/>
        </patternFill>
      </fill>
      <border>
        <left/>
        <right/>
        <top/>
        <bottom/>
      </border>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color theme="1"/>
      </font>
      <border>
        <bottom style="thin">
          <color theme="1"/>
        </bottom>
      </border>
    </dxf>
    <dxf>
      <font>
        <color theme="1"/>
      </font>
      <border>
        <top style="thin">
          <color theme="1"/>
        </top>
        <bottom style="thin">
          <color theme="1"/>
        </bottom>
      </border>
    </dxf>
  </dxfs>
  <tableStyles count="1" defaultTableStyle="TableStyleMedium2" defaultPivotStyle="PivotStyleMedium11">
    <tableStyle name="Dieta" pivot="0" count="7" xr9:uid="{74D60C63-CCC8-43D7-9DB6-8681D17490F5}">
      <tableStyleElement type="wholeTable" dxfId="74"/>
      <tableStyleElement type="headerRow" dxfId="73"/>
      <tableStyleElement type="totalRow" dxfId="72"/>
      <tableStyleElement type="firstColumn" dxfId="71"/>
      <tableStyleElement type="lastColumn" dxfId="70"/>
      <tableStyleElement type="firstRowStripe" dxfId="69"/>
      <tableStyleElement type="firstColumnStripe" dxfId="68"/>
    </tableStyle>
  </tableStyles>
  <colors>
    <mruColors>
      <color rgb="FFDAE2E5"/>
      <color rgb="FF000000"/>
      <color rgb="FFFFFFCC"/>
      <color rgb="FFF0F3F4"/>
      <color rgb="FFFF00FF"/>
      <color rgb="FF9966FF"/>
      <color rgb="FFE6EBEE"/>
      <color rgb="FF7086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05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tx>
            <c:strRef>
              <c:f>Datos_edif!$D$22</c:f>
              <c:strCache>
                <c:ptCount val="1"/>
                <c:pt idx="0">
                  <c:v>Generadas</c:v>
                </c:pt>
              </c:strCache>
            </c:strRef>
          </c:tx>
          <c:spPr>
            <a:solidFill>
              <a:schemeClr val="accent6">
                <a:tint val="7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Datos_edif!$C$23:$C$24</c:f>
              <c:strCache>
                <c:ptCount val="2"/>
                <c:pt idx="0">
                  <c:v>Sin certificación</c:v>
                </c:pt>
                <c:pt idx="1">
                  <c:v>Con certificación</c:v>
                </c:pt>
              </c:strCache>
            </c:strRef>
          </c:cat>
          <c:val>
            <c:numRef>
              <c:f>Datos_edif!$D$23:$D$24</c:f>
              <c:numCache>
                <c:formatCode>_(* #,##0.00_);_(* \(#,##0.00\);_(* "-"??_);_(@_)</c:formatCode>
                <c:ptCount val="2"/>
                <c:pt idx="0">
                  <c:v>0</c:v>
                </c:pt>
                <c:pt idx="1">
                  <c:v>0</c:v>
                </c:pt>
              </c:numCache>
            </c:numRef>
          </c:val>
          <c:extLst>
            <c:ext xmlns:c16="http://schemas.microsoft.com/office/drawing/2014/chart" uri="{C3380CC4-5D6E-409C-BE32-E72D297353CC}">
              <c16:uniqueId val="{00000000-F854-452E-A10B-0C3B97F226B1}"/>
            </c:ext>
          </c:extLst>
        </c:ser>
        <c:ser>
          <c:idx val="1"/>
          <c:order val="1"/>
          <c:tx>
            <c:strRef>
              <c:f>Datos_edif!$E$22</c:f>
              <c:strCache>
                <c:ptCount val="1"/>
                <c:pt idx="0">
                  <c:v>Evitadas</c:v>
                </c:pt>
              </c:strCache>
            </c:strRef>
          </c:tx>
          <c:spPr>
            <a:solidFill>
              <a:schemeClr val="accent6">
                <a:shade val="76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F854-452E-A10B-0C3B97F226B1}"/>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Datos_edif!$C$23:$C$24</c:f>
              <c:strCache>
                <c:ptCount val="2"/>
                <c:pt idx="0">
                  <c:v>Sin certificación</c:v>
                </c:pt>
                <c:pt idx="1">
                  <c:v>Con certificación</c:v>
                </c:pt>
              </c:strCache>
            </c:strRef>
          </c:cat>
          <c:val>
            <c:numRef>
              <c:f>Datos_edif!$E$23:$E$24</c:f>
              <c:numCache>
                <c:formatCode>_(* #,##0.00_);_(* \(#,##0.00\);_(* "-"??_);_(@_)</c:formatCode>
                <c:ptCount val="2"/>
                <c:pt idx="0">
                  <c:v>0</c:v>
                </c:pt>
                <c:pt idx="1">
                  <c:v>0</c:v>
                </c:pt>
              </c:numCache>
            </c:numRef>
          </c:val>
          <c:extLst>
            <c:ext xmlns:c16="http://schemas.microsoft.com/office/drawing/2014/chart" uri="{C3380CC4-5D6E-409C-BE32-E72D297353CC}">
              <c16:uniqueId val="{00000002-F854-452E-A10B-0C3B97F226B1}"/>
            </c:ext>
          </c:extLst>
        </c:ser>
        <c:dLbls>
          <c:dLblPos val="ctr"/>
          <c:showLegendKey val="0"/>
          <c:showVal val="1"/>
          <c:showCatName val="0"/>
          <c:showSerName val="0"/>
          <c:showPercent val="0"/>
          <c:showBubbleSize val="0"/>
        </c:dLbls>
        <c:gapWidth val="79"/>
        <c:overlap val="100"/>
        <c:axId val="739663295"/>
        <c:axId val="739667135"/>
      </c:barChart>
      <c:catAx>
        <c:axId val="7396632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cap="all" spc="120" normalizeH="0" baseline="0">
                <a:solidFill>
                  <a:schemeClr val="tx1">
                    <a:lumMod val="65000"/>
                    <a:lumOff val="35000"/>
                  </a:schemeClr>
                </a:solidFill>
                <a:latin typeface="+mn-lt"/>
                <a:ea typeface="+mn-ea"/>
                <a:cs typeface="+mn-cs"/>
              </a:defRPr>
            </a:pPr>
            <a:endParaRPr lang="es-EC"/>
          </a:p>
        </c:txPr>
        <c:crossAx val="739667135"/>
        <c:crosses val="autoZero"/>
        <c:auto val="1"/>
        <c:lblAlgn val="ctr"/>
        <c:lblOffset val="100"/>
        <c:noMultiLvlLbl val="0"/>
      </c:catAx>
      <c:valAx>
        <c:axId val="739667135"/>
        <c:scaling>
          <c:orientation val="minMax"/>
          <c:min val="0"/>
        </c:scaling>
        <c:delete val="1"/>
        <c:axPos val="b"/>
        <c:numFmt formatCode="_(* #,##0.00_);_(* \(#,##0.00\);_(* &quot;-&quot;??_);_(@_)" sourceLinked="1"/>
        <c:majorTickMark val="none"/>
        <c:minorTickMark val="none"/>
        <c:tickLblPos val="nextTo"/>
        <c:crossAx val="73966329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05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spPr>
            <a:solidFill>
              <a:schemeClr val="accent4"/>
            </a:solidFill>
            <a:ln>
              <a:noFill/>
            </a:ln>
            <a:effectLst/>
          </c:spPr>
          <c:invertIfNegative val="0"/>
          <c:dLbls>
            <c:dLbl>
              <c:idx val="1"/>
              <c:layout>
                <c:manualLayout>
                  <c:x val="2.18905506938615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49-4A72-8EBB-801321DBEF4E}"/>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Datos_energia!$F$42:$F$43</c:f>
              <c:strCache>
                <c:ptCount val="2"/>
                <c:pt idx="0">
                  <c:v>Consumo red eléctrica</c:v>
                </c:pt>
                <c:pt idx="1">
                  <c:v>Autogeneración Bombas solares</c:v>
                </c:pt>
              </c:strCache>
            </c:strRef>
          </c:cat>
          <c:val>
            <c:numRef>
              <c:f>Datos_energia!$G$42:$G$43</c:f>
              <c:numCache>
                <c:formatCode>_(* #,##0.00_);_(* \(#,##0.00\);_(* "-"??_);_(@_)</c:formatCode>
                <c:ptCount val="2"/>
                <c:pt idx="0">
                  <c:v>750.18011999999999</c:v>
                </c:pt>
                <c:pt idx="1">
                  <c:v>0</c:v>
                </c:pt>
              </c:numCache>
            </c:numRef>
          </c:val>
          <c:extLst>
            <c:ext xmlns:c16="http://schemas.microsoft.com/office/drawing/2014/chart" uri="{C3380CC4-5D6E-409C-BE32-E72D297353CC}">
              <c16:uniqueId val="{00000000-1D49-4A72-8EBB-801321DBEF4E}"/>
            </c:ext>
          </c:extLst>
        </c:ser>
        <c:dLbls>
          <c:dLblPos val="ctr"/>
          <c:showLegendKey val="0"/>
          <c:showVal val="1"/>
          <c:showCatName val="0"/>
          <c:showSerName val="0"/>
          <c:showPercent val="0"/>
          <c:showBubbleSize val="0"/>
        </c:dLbls>
        <c:gapWidth val="79"/>
        <c:overlap val="100"/>
        <c:axId val="1865736688"/>
        <c:axId val="1864614864"/>
      </c:barChart>
      <c:catAx>
        <c:axId val="1865736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EC"/>
          </a:p>
        </c:txPr>
        <c:crossAx val="1864614864"/>
        <c:crosses val="autoZero"/>
        <c:auto val="1"/>
        <c:lblAlgn val="ctr"/>
        <c:lblOffset val="100"/>
        <c:noMultiLvlLbl val="0"/>
      </c:catAx>
      <c:valAx>
        <c:axId val="1864614864"/>
        <c:scaling>
          <c:orientation val="minMax"/>
        </c:scaling>
        <c:delete val="1"/>
        <c:axPos val="b"/>
        <c:numFmt formatCode="_(* #,##0.00_);_(* \(#,##0.00\);_(* &quot;-&quot;??_);_(@_)" sourceLinked="1"/>
        <c:majorTickMark val="none"/>
        <c:minorTickMark val="none"/>
        <c:tickLblPos val="nextTo"/>
        <c:crossAx val="18657366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05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spPr>
            <a:solidFill>
              <a:schemeClr val="accent4"/>
            </a:solidFill>
            <a:ln>
              <a:noFill/>
            </a:ln>
            <a:effectLst/>
          </c:spPr>
          <c:invertIfNegative val="0"/>
          <c:dLbls>
            <c:dLbl>
              <c:idx val="1"/>
              <c:layout>
                <c:manualLayout>
                  <c:x val="3.0830833746896543E-2"/>
                  <c:y val="-7.00223162709090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C7-4A5A-BBFC-7B81861A2FB8}"/>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Datos_energia!$F$58:$F$59</c:f>
              <c:strCache>
                <c:ptCount val="2"/>
                <c:pt idx="0">
                  <c:v>Consumo red eléctrica</c:v>
                </c:pt>
                <c:pt idx="1">
                  <c:v>Autogeneración cercas eléctricas</c:v>
                </c:pt>
              </c:strCache>
            </c:strRef>
          </c:cat>
          <c:val>
            <c:numRef>
              <c:f>Datos_energia!$G$58:$G$59</c:f>
              <c:numCache>
                <c:formatCode>_(* #,##0.00_);_(* \(#,##0.00\);_(* "-"??_);_(@_)</c:formatCode>
                <c:ptCount val="2"/>
                <c:pt idx="0">
                  <c:v>25.868279999999999</c:v>
                </c:pt>
                <c:pt idx="1">
                  <c:v>0</c:v>
                </c:pt>
              </c:numCache>
            </c:numRef>
          </c:val>
          <c:extLst>
            <c:ext xmlns:c16="http://schemas.microsoft.com/office/drawing/2014/chart" uri="{C3380CC4-5D6E-409C-BE32-E72D297353CC}">
              <c16:uniqueId val="{00000000-A3C7-4A5A-BBFC-7B81861A2FB8}"/>
            </c:ext>
          </c:extLst>
        </c:ser>
        <c:dLbls>
          <c:dLblPos val="ctr"/>
          <c:showLegendKey val="0"/>
          <c:showVal val="1"/>
          <c:showCatName val="0"/>
          <c:showSerName val="0"/>
          <c:showPercent val="0"/>
          <c:showBubbleSize val="0"/>
        </c:dLbls>
        <c:gapWidth val="79"/>
        <c:overlap val="100"/>
        <c:axId val="685198384"/>
        <c:axId val="685191184"/>
      </c:barChart>
      <c:catAx>
        <c:axId val="685198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EC"/>
          </a:p>
        </c:txPr>
        <c:crossAx val="685191184"/>
        <c:crosses val="autoZero"/>
        <c:auto val="1"/>
        <c:lblAlgn val="ctr"/>
        <c:lblOffset val="100"/>
        <c:noMultiLvlLbl val="0"/>
      </c:catAx>
      <c:valAx>
        <c:axId val="685191184"/>
        <c:scaling>
          <c:orientation val="minMax"/>
        </c:scaling>
        <c:delete val="1"/>
        <c:axPos val="b"/>
        <c:numFmt formatCode="_(* #,##0.00_);_(* \(#,##0.00\);_(* &quot;-&quot;??_);_(@_)" sourceLinked="1"/>
        <c:majorTickMark val="none"/>
        <c:minorTickMark val="none"/>
        <c:tickLblPos val="nextTo"/>
        <c:crossAx val="685198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10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spPr>
            <a:solidFill>
              <a:schemeClr val="accent4"/>
            </a:solidFill>
            <a:ln>
              <a:noFill/>
            </a:ln>
            <a:effectLst/>
          </c:spPr>
          <c:invertIfNegative val="0"/>
          <c:dLbls>
            <c:dLbl>
              <c:idx val="1"/>
              <c:layout>
                <c:manualLayout>
                  <c:x val="3.5555555555555556E-2"/>
                  <c:y val="7.71929952523268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91-4810-AC07-AFBEF29C4EA3}"/>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Datos_energia!$F$19:$F$20</c:f>
              <c:strCache>
                <c:ptCount val="2"/>
                <c:pt idx="0">
                  <c:v>Consumo red eléctrica</c:v>
                </c:pt>
                <c:pt idx="1">
                  <c:v>Autogeneración lámparas solares</c:v>
                </c:pt>
              </c:strCache>
            </c:strRef>
          </c:cat>
          <c:val>
            <c:numRef>
              <c:f>Datos_energia!$G$19:$G$20</c:f>
              <c:numCache>
                <c:formatCode>_(* #,##0.00_);_(* \(#,##0.00\);_(* "-"??_);_(@_)</c:formatCode>
                <c:ptCount val="2"/>
                <c:pt idx="0">
                  <c:v>7883.9999999999991</c:v>
                </c:pt>
                <c:pt idx="1">
                  <c:v>0</c:v>
                </c:pt>
              </c:numCache>
            </c:numRef>
          </c:val>
          <c:extLst>
            <c:ext xmlns:c16="http://schemas.microsoft.com/office/drawing/2014/chart" uri="{C3380CC4-5D6E-409C-BE32-E72D297353CC}">
              <c16:uniqueId val="{00000000-0A91-4810-AC07-AFBEF29C4EA3}"/>
            </c:ext>
          </c:extLst>
        </c:ser>
        <c:dLbls>
          <c:dLblPos val="ctr"/>
          <c:showLegendKey val="0"/>
          <c:showVal val="1"/>
          <c:showCatName val="0"/>
          <c:showSerName val="0"/>
          <c:showPercent val="0"/>
          <c:showBubbleSize val="0"/>
        </c:dLbls>
        <c:gapWidth val="79"/>
        <c:overlap val="100"/>
        <c:axId val="685214224"/>
        <c:axId val="685214704"/>
      </c:barChart>
      <c:catAx>
        <c:axId val="68521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EC"/>
          </a:p>
        </c:txPr>
        <c:crossAx val="685214704"/>
        <c:crosses val="autoZero"/>
        <c:auto val="1"/>
        <c:lblAlgn val="ctr"/>
        <c:lblOffset val="100"/>
        <c:noMultiLvlLbl val="0"/>
      </c:catAx>
      <c:valAx>
        <c:axId val="685214704"/>
        <c:scaling>
          <c:orientation val="minMax"/>
        </c:scaling>
        <c:delete val="1"/>
        <c:axPos val="b"/>
        <c:numFmt formatCode="_(* #,##0.00_);_(* \(#,##0.00\);_(* &quot;-&quot;??_);_(@_)" sourceLinked="1"/>
        <c:majorTickMark val="none"/>
        <c:minorTickMark val="none"/>
        <c:tickLblPos val="nextTo"/>
        <c:crossAx val="685214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05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spPr>
            <a:solidFill>
              <a:schemeClr val="accent4"/>
            </a:solidFill>
            <a:ln>
              <a:noFill/>
            </a:ln>
            <a:effectLst/>
          </c:spPr>
          <c:invertIfNegative val="0"/>
          <c:dLbls>
            <c:dLbl>
              <c:idx val="1"/>
              <c:layout>
                <c:manualLayout>
                  <c:x val="3.49206414674367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7B-45E1-B4A4-F194BBB5B8EF}"/>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Datos_energia!$F$140:$F$141</c:f>
              <c:strCache>
                <c:ptCount val="2"/>
                <c:pt idx="0">
                  <c:v>Consumo energético anterior</c:v>
                </c:pt>
                <c:pt idx="1">
                  <c:v>Utilización 
energía solar</c:v>
                </c:pt>
              </c:strCache>
            </c:strRef>
          </c:cat>
          <c:val>
            <c:numRef>
              <c:f>Datos_energia!$G$140:$G$141</c:f>
              <c:numCache>
                <c:formatCode>_(* #,##0.00_);_(* \(#,##0.00\);_(* "-"??_);_(@_)</c:formatCode>
                <c:ptCount val="2"/>
                <c:pt idx="0">
                  <c:v>1.1124424938271606</c:v>
                </c:pt>
                <c:pt idx="1">
                  <c:v>0</c:v>
                </c:pt>
              </c:numCache>
            </c:numRef>
          </c:val>
          <c:extLst>
            <c:ext xmlns:c16="http://schemas.microsoft.com/office/drawing/2014/chart" uri="{C3380CC4-5D6E-409C-BE32-E72D297353CC}">
              <c16:uniqueId val="{00000000-D37B-45E1-B4A4-F194BBB5B8EF}"/>
            </c:ext>
          </c:extLst>
        </c:ser>
        <c:dLbls>
          <c:dLblPos val="ctr"/>
          <c:showLegendKey val="0"/>
          <c:showVal val="1"/>
          <c:showCatName val="0"/>
          <c:showSerName val="0"/>
          <c:showPercent val="0"/>
          <c:showBubbleSize val="0"/>
        </c:dLbls>
        <c:gapWidth val="79"/>
        <c:overlap val="100"/>
        <c:axId val="290809072"/>
        <c:axId val="290799952"/>
      </c:barChart>
      <c:catAx>
        <c:axId val="290809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EC"/>
          </a:p>
        </c:txPr>
        <c:crossAx val="290799952"/>
        <c:crosses val="autoZero"/>
        <c:auto val="1"/>
        <c:lblAlgn val="ctr"/>
        <c:lblOffset val="100"/>
        <c:noMultiLvlLbl val="0"/>
      </c:catAx>
      <c:valAx>
        <c:axId val="290799952"/>
        <c:scaling>
          <c:orientation val="minMax"/>
        </c:scaling>
        <c:delete val="1"/>
        <c:axPos val="b"/>
        <c:numFmt formatCode="_(* #,##0.00_);_(* \(#,##0.00\);_(* &quot;-&quot;??_);_(@_)" sourceLinked="1"/>
        <c:majorTickMark val="none"/>
        <c:minorTickMark val="none"/>
        <c:tickLblPos val="nextTo"/>
        <c:crossAx val="290809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10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spPr>
            <a:solidFill>
              <a:schemeClr val="accent4"/>
            </a:solidFill>
            <a:ln>
              <a:noFill/>
            </a:ln>
            <a:effectLst/>
          </c:spPr>
          <c:invertIfNegative val="0"/>
          <c:dLbls>
            <c:dLbl>
              <c:idx val="1"/>
              <c:layout>
                <c:manualLayout>
                  <c:x val="3.0374750621247362E-2"/>
                  <c:y val="-7.075942822901326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94-406E-8047-41FC732E3580}"/>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Datos_energia!$F$177:$F$178</c:f>
              <c:strCache>
                <c:ptCount val="2"/>
                <c:pt idx="0">
                  <c:v>Consumo energético anterior</c:v>
                </c:pt>
                <c:pt idx="1">
                  <c:v>Utilización 
energía solar</c:v>
                </c:pt>
              </c:strCache>
            </c:strRef>
          </c:cat>
          <c:val>
            <c:numRef>
              <c:f>Datos_energia!$G$177:$G$178</c:f>
              <c:numCache>
                <c:formatCode>_(* #,##0.00_);_(* \(#,##0.00\);_(* "-"??_);_(@_)</c:formatCode>
                <c:ptCount val="2"/>
                <c:pt idx="0">
                  <c:v>1078.3154665476266</c:v>
                </c:pt>
                <c:pt idx="1">
                  <c:v>0</c:v>
                </c:pt>
              </c:numCache>
            </c:numRef>
          </c:val>
          <c:extLst>
            <c:ext xmlns:c16="http://schemas.microsoft.com/office/drawing/2014/chart" uri="{C3380CC4-5D6E-409C-BE32-E72D297353CC}">
              <c16:uniqueId val="{00000000-C294-406E-8047-41FC732E3580}"/>
            </c:ext>
          </c:extLst>
        </c:ser>
        <c:dLbls>
          <c:dLblPos val="ctr"/>
          <c:showLegendKey val="0"/>
          <c:showVal val="1"/>
          <c:showCatName val="0"/>
          <c:showSerName val="0"/>
          <c:showPercent val="0"/>
          <c:showBubbleSize val="0"/>
        </c:dLbls>
        <c:gapWidth val="79"/>
        <c:overlap val="100"/>
        <c:axId val="685202224"/>
        <c:axId val="685203184"/>
      </c:barChart>
      <c:catAx>
        <c:axId val="685202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EC"/>
          </a:p>
        </c:txPr>
        <c:crossAx val="685203184"/>
        <c:crosses val="autoZero"/>
        <c:auto val="1"/>
        <c:lblAlgn val="ctr"/>
        <c:lblOffset val="100"/>
        <c:noMultiLvlLbl val="0"/>
      </c:catAx>
      <c:valAx>
        <c:axId val="685203184"/>
        <c:scaling>
          <c:orientation val="minMax"/>
        </c:scaling>
        <c:delete val="1"/>
        <c:axPos val="b"/>
        <c:numFmt formatCode="_(* #,##0.00_);_(* \(#,##0.00\);_(* &quot;-&quot;??_);_(@_)" sourceLinked="1"/>
        <c:majorTickMark val="none"/>
        <c:minorTickMark val="none"/>
        <c:tickLblPos val="nextTo"/>
        <c:crossAx val="685202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05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spPr>
            <a:solidFill>
              <a:schemeClr val="accent4"/>
            </a:solidFill>
            <a:ln>
              <a:noFill/>
            </a:ln>
            <a:effectLst/>
          </c:spPr>
          <c:invertIfNegative val="0"/>
          <c:dLbls>
            <c:dLbl>
              <c:idx val="1"/>
              <c:layout>
                <c:manualLayout>
                  <c:x val="5.269461740388418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F5-4188-A88C-44B58113C663}"/>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Datos_energia!$B$199:$B$200</c:f>
              <c:strCache>
                <c:ptCount val="2"/>
                <c:pt idx="0">
                  <c:v>Alimentación 
manual</c:v>
                </c:pt>
                <c:pt idx="1">
                  <c:v>Uso 
alimentadores</c:v>
                </c:pt>
              </c:strCache>
            </c:strRef>
          </c:cat>
          <c:val>
            <c:numRef>
              <c:f>Datos_energia!$C$199:$C$200</c:f>
              <c:numCache>
                <c:formatCode>_(* #,##0.00_);_(* \(#,##0.00\);_(* "-"??_);_(@_)</c:formatCode>
                <c:ptCount val="2"/>
                <c:pt idx="0">
                  <c:v>326.19600000000003</c:v>
                </c:pt>
                <c:pt idx="1">
                  <c:v>0</c:v>
                </c:pt>
              </c:numCache>
            </c:numRef>
          </c:val>
          <c:extLst>
            <c:ext xmlns:c16="http://schemas.microsoft.com/office/drawing/2014/chart" uri="{C3380CC4-5D6E-409C-BE32-E72D297353CC}">
              <c16:uniqueId val="{00000000-B2F5-4188-A88C-44B58113C663}"/>
            </c:ext>
          </c:extLst>
        </c:ser>
        <c:dLbls>
          <c:dLblPos val="ctr"/>
          <c:showLegendKey val="0"/>
          <c:showVal val="1"/>
          <c:showCatName val="0"/>
          <c:showSerName val="0"/>
          <c:showPercent val="0"/>
          <c:showBubbleSize val="0"/>
        </c:dLbls>
        <c:gapWidth val="79"/>
        <c:overlap val="100"/>
        <c:axId val="290799472"/>
        <c:axId val="290800912"/>
      </c:barChart>
      <c:catAx>
        <c:axId val="290799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EC"/>
          </a:p>
        </c:txPr>
        <c:crossAx val="290800912"/>
        <c:crosses val="autoZero"/>
        <c:auto val="1"/>
        <c:lblAlgn val="ctr"/>
        <c:lblOffset val="100"/>
        <c:noMultiLvlLbl val="0"/>
      </c:catAx>
      <c:valAx>
        <c:axId val="290800912"/>
        <c:scaling>
          <c:orientation val="minMax"/>
        </c:scaling>
        <c:delete val="1"/>
        <c:axPos val="b"/>
        <c:numFmt formatCode="_(* #,##0.00_);_(* \(#,##0.00\);_(* &quot;-&quot;??_);_(@_)" sourceLinked="1"/>
        <c:majorTickMark val="none"/>
        <c:minorTickMark val="none"/>
        <c:tickLblPos val="nextTo"/>
        <c:crossAx val="290799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10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spPr>
            <a:solidFill>
              <a:schemeClr val="accent4"/>
            </a:solidFill>
            <a:ln>
              <a:noFill/>
            </a:ln>
            <a:effectLst/>
          </c:spPr>
          <c:invertIfNegative val="0"/>
          <c:dLbls>
            <c:dLbl>
              <c:idx val="1"/>
              <c:layout>
                <c:manualLayout>
                  <c:x val="3.50248811101783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7D-4B48-91B8-D35EAC82ECA5}"/>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Datos_energia!$F$204:$F$205</c:f>
              <c:strCache>
                <c:ptCount val="2"/>
                <c:pt idx="0">
                  <c:v>Consumo energético anterior</c:v>
                </c:pt>
                <c:pt idx="1">
                  <c:v>Utilización 
energía solar</c:v>
                </c:pt>
              </c:strCache>
            </c:strRef>
          </c:cat>
          <c:val>
            <c:numRef>
              <c:f>Datos_energia!$G$204:$G$205</c:f>
              <c:numCache>
                <c:formatCode>_(* #,##0.00_);_(* \(#,##0.00\);_(* "-"??_);_(@_)</c:formatCode>
                <c:ptCount val="2"/>
                <c:pt idx="0">
                  <c:v>44.295000000000002</c:v>
                </c:pt>
                <c:pt idx="1">
                  <c:v>0</c:v>
                </c:pt>
              </c:numCache>
            </c:numRef>
          </c:val>
          <c:extLst>
            <c:ext xmlns:c16="http://schemas.microsoft.com/office/drawing/2014/chart" uri="{C3380CC4-5D6E-409C-BE32-E72D297353CC}">
              <c16:uniqueId val="{00000000-7E7D-4B48-91B8-D35EAC82ECA5}"/>
            </c:ext>
          </c:extLst>
        </c:ser>
        <c:dLbls>
          <c:dLblPos val="ctr"/>
          <c:showLegendKey val="0"/>
          <c:showVal val="1"/>
          <c:showCatName val="0"/>
          <c:showSerName val="0"/>
          <c:showPercent val="0"/>
          <c:showBubbleSize val="0"/>
        </c:dLbls>
        <c:gapWidth val="79"/>
        <c:overlap val="100"/>
        <c:axId val="1863823360"/>
        <c:axId val="1863825760"/>
      </c:barChart>
      <c:catAx>
        <c:axId val="1863823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EC"/>
          </a:p>
        </c:txPr>
        <c:crossAx val="1863825760"/>
        <c:crosses val="autoZero"/>
        <c:auto val="1"/>
        <c:lblAlgn val="ctr"/>
        <c:lblOffset val="100"/>
        <c:noMultiLvlLbl val="0"/>
      </c:catAx>
      <c:valAx>
        <c:axId val="1863825760"/>
        <c:scaling>
          <c:orientation val="minMax"/>
        </c:scaling>
        <c:delete val="1"/>
        <c:axPos val="b"/>
        <c:numFmt formatCode="_(* #,##0.00_);_(* \(#,##0.00\);_(* &quot;-&quot;??_);_(@_)" sourceLinked="1"/>
        <c:majorTickMark val="none"/>
        <c:minorTickMark val="none"/>
        <c:tickLblPos val="nextTo"/>
        <c:crossAx val="1863823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05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spPr>
            <a:solidFill>
              <a:schemeClr val="accent4"/>
            </a:solidFill>
            <a:ln>
              <a:noFill/>
            </a:ln>
            <a:effectLst/>
          </c:spPr>
          <c:invertIfNegative val="0"/>
          <c:dLbls>
            <c:dLbl>
              <c:idx val="1"/>
              <c:layout>
                <c:manualLayout>
                  <c:x val="3.0646770971406036E-2"/>
                  <c:y val="-7.00223162709090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23-4DAE-9528-64E77752E6B5}"/>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Datos_energia!$F$220:$F$221</c:f>
              <c:strCache>
                <c:ptCount val="2"/>
                <c:pt idx="0">
                  <c:v>Consumo red eléctrica</c:v>
                </c:pt>
                <c:pt idx="1">
                  <c:v>Autogeneración hidroeléctrica</c:v>
                </c:pt>
              </c:strCache>
            </c:strRef>
          </c:cat>
          <c:val>
            <c:numRef>
              <c:f>Datos_energia!$G$220:$G$221</c:f>
              <c:numCache>
                <c:formatCode>_(* #,##0.00_);_(* \(#,##0.00\);_(* "-"??_);_(@_)</c:formatCode>
                <c:ptCount val="2"/>
                <c:pt idx="0">
                  <c:v>2.5868280000000001</c:v>
                </c:pt>
                <c:pt idx="1">
                  <c:v>0</c:v>
                </c:pt>
              </c:numCache>
            </c:numRef>
          </c:val>
          <c:extLst>
            <c:ext xmlns:c16="http://schemas.microsoft.com/office/drawing/2014/chart" uri="{C3380CC4-5D6E-409C-BE32-E72D297353CC}">
              <c16:uniqueId val="{00000000-A223-4DAE-9528-64E77752E6B5}"/>
            </c:ext>
          </c:extLst>
        </c:ser>
        <c:dLbls>
          <c:dLblPos val="ctr"/>
          <c:showLegendKey val="0"/>
          <c:showVal val="1"/>
          <c:showCatName val="0"/>
          <c:showSerName val="0"/>
          <c:showPercent val="0"/>
          <c:showBubbleSize val="0"/>
        </c:dLbls>
        <c:gapWidth val="79"/>
        <c:overlap val="100"/>
        <c:axId val="290807152"/>
        <c:axId val="290810992"/>
      </c:barChart>
      <c:catAx>
        <c:axId val="290807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EC"/>
          </a:p>
        </c:txPr>
        <c:crossAx val="290810992"/>
        <c:crosses val="autoZero"/>
        <c:auto val="1"/>
        <c:lblAlgn val="ctr"/>
        <c:lblOffset val="100"/>
        <c:noMultiLvlLbl val="0"/>
      </c:catAx>
      <c:valAx>
        <c:axId val="290810992"/>
        <c:scaling>
          <c:orientation val="minMax"/>
        </c:scaling>
        <c:delete val="1"/>
        <c:axPos val="b"/>
        <c:numFmt formatCode="_(* #,##0.00_);_(* \(#,##0.00\);_(* &quot;-&quot;??_);_(@_)" sourceLinked="1"/>
        <c:majorTickMark val="none"/>
        <c:minorTickMark val="none"/>
        <c:tickLblPos val="nextTo"/>
        <c:crossAx val="2908071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a:t>Emisiones directas</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tx>
            <c:strRef>
              <c:f>Datos_energia!$G$79</c:f>
              <c:strCache>
                <c:ptCount val="1"/>
                <c:pt idx="0">
                  <c:v>Generadas</c:v>
                </c:pt>
              </c:strCache>
            </c:strRef>
          </c:tx>
          <c:spPr>
            <a:solidFill>
              <a:schemeClr val="accent4">
                <a:lumMod val="20000"/>
                <a:lumOff val="80000"/>
              </a:scheme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169B-469F-90B9-CADC5D87DF70}"/>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Datos_energia!$F$80:$F$81</c:f>
              <c:strCache>
                <c:ptCount val="2"/>
                <c:pt idx="0">
                  <c:v>Anterior</c:v>
                </c:pt>
                <c:pt idx="1">
                  <c:v>Actual</c:v>
                </c:pt>
              </c:strCache>
            </c:strRef>
          </c:cat>
          <c:val>
            <c:numRef>
              <c:f>Datos_energia!$G$80:$G$81</c:f>
              <c:numCache>
                <c:formatCode>_(* #,##0.00_);_(* \(#,##0.00\);_(* "-"??_);_(@_)</c:formatCode>
                <c:ptCount val="2"/>
                <c:pt idx="0">
                  <c:v>327.85252499999984</c:v>
                </c:pt>
                <c:pt idx="1">
                  <c:v>0</c:v>
                </c:pt>
              </c:numCache>
            </c:numRef>
          </c:val>
          <c:extLst>
            <c:ext xmlns:c16="http://schemas.microsoft.com/office/drawing/2014/chart" uri="{C3380CC4-5D6E-409C-BE32-E72D297353CC}">
              <c16:uniqueId val="{00000000-169B-469F-90B9-CADC5D87DF70}"/>
            </c:ext>
          </c:extLst>
        </c:ser>
        <c:ser>
          <c:idx val="1"/>
          <c:order val="1"/>
          <c:tx>
            <c:strRef>
              <c:f>Datos_energia!$H$79</c:f>
              <c:strCache>
                <c:ptCount val="1"/>
                <c:pt idx="0">
                  <c:v>Neutralizadas</c:v>
                </c:pt>
              </c:strCache>
            </c:strRef>
          </c:tx>
          <c:spPr>
            <a:solidFill>
              <a:schemeClr val="accent4">
                <a:shade val="76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169B-469F-90B9-CADC5D87DF70}"/>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Datos_energia!$F$80:$F$81</c:f>
              <c:strCache>
                <c:ptCount val="2"/>
                <c:pt idx="0">
                  <c:v>Anterior</c:v>
                </c:pt>
                <c:pt idx="1">
                  <c:v>Actual</c:v>
                </c:pt>
              </c:strCache>
            </c:strRef>
          </c:cat>
          <c:val>
            <c:numRef>
              <c:f>Datos_energia!$H$80:$H$81</c:f>
              <c:numCache>
                <c:formatCode>_(* #,##0.00_);_(* \(#,##0.00\);_(* "-"??_);_(@_)</c:formatCode>
                <c:ptCount val="2"/>
                <c:pt idx="0">
                  <c:v>0</c:v>
                </c:pt>
                <c:pt idx="1">
                  <c:v>327.85252499999984</c:v>
                </c:pt>
              </c:numCache>
            </c:numRef>
          </c:val>
          <c:extLst>
            <c:ext xmlns:c16="http://schemas.microsoft.com/office/drawing/2014/chart" uri="{C3380CC4-5D6E-409C-BE32-E72D297353CC}">
              <c16:uniqueId val="{00000001-169B-469F-90B9-CADC5D87DF70}"/>
            </c:ext>
          </c:extLst>
        </c:ser>
        <c:dLbls>
          <c:dLblPos val="ctr"/>
          <c:showLegendKey val="0"/>
          <c:showVal val="1"/>
          <c:showCatName val="0"/>
          <c:showSerName val="0"/>
          <c:showPercent val="0"/>
          <c:showBubbleSize val="0"/>
        </c:dLbls>
        <c:gapWidth val="79"/>
        <c:overlap val="100"/>
        <c:axId val="1238598192"/>
        <c:axId val="1238588112"/>
      </c:barChart>
      <c:catAx>
        <c:axId val="1238598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cap="all" spc="120" normalizeH="0" baseline="0">
                <a:solidFill>
                  <a:schemeClr val="tx1">
                    <a:lumMod val="65000"/>
                    <a:lumOff val="35000"/>
                  </a:schemeClr>
                </a:solidFill>
                <a:latin typeface="+mn-lt"/>
                <a:ea typeface="+mn-ea"/>
                <a:cs typeface="+mn-cs"/>
              </a:defRPr>
            </a:pPr>
            <a:endParaRPr lang="es-EC"/>
          </a:p>
        </c:txPr>
        <c:crossAx val="1238588112"/>
        <c:crosses val="autoZero"/>
        <c:auto val="1"/>
        <c:lblAlgn val="ctr"/>
        <c:lblOffset val="100"/>
        <c:noMultiLvlLbl val="0"/>
      </c:catAx>
      <c:valAx>
        <c:axId val="1238588112"/>
        <c:scaling>
          <c:orientation val="minMax"/>
        </c:scaling>
        <c:delete val="1"/>
        <c:axPos val="b"/>
        <c:numFmt formatCode="_(* #,##0.00_);_(* \(#,##0.00\);_(* &quot;-&quot;??_);_(@_)" sourceLinked="1"/>
        <c:majorTickMark val="none"/>
        <c:minorTickMark val="none"/>
        <c:tickLblPos val="nextTo"/>
        <c:crossAx val="12385981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n-US"/>
              <a:t>EMISIONES DIRECTAS</a:t>
            </a:r>
          </a:p>
        </c:rich>
      </c:tx>
      <c:layout>
        <c:manualLayout>
          <c:xMode val="edge"/>
          <c:yMode val="edge"/>
          <c:x val="0.17887495586926624"/>
          <c:y val="0"/>
        </c:manualLayout>
      </c:layout>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manualLayout>
          <c:layoutTarget val="inner"/>
          <c:xMode val="edge"/>
          <c:yMode val="edge"/>
          <c:x val="0.23017411611949182"/>
          <c:y val="0.4127566604445953"/>
          <c:w val="0.72137744765175948"/>
          <c:h val="0.53735678237205475"/>
        </c:manualLayout>
      </c:layout>
      <c:barChart>
        <c:barDir val="bar"/>
        <c:grouping val="stacked"/>
        <c:varyColors val="0"/>
        <c:ser>
          <c:idx val="0"/>
          <c:order val="0"/>
          <c:tx>
            <c:strRef>
              <c:f>Datos_energia!$G$112</c:f>
              <c:strCache>
                <c:ptCount val="1"/>
                <c:pt idx="0">
                  <c:v>GLP</c:v>
                </c:pt>
              </c:strCache>
            </c:strRef>
          </c:tx>
          <c:spPr>
            <a:solidFill>
              <a:schemeClr val="accent4">
                <a:tint val="77000"/>
              </a:scheme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A9A6-4BBB-B28C-09C7C08A1E08}"/>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Datos_energia!$F$113:$F$114</c:f>
              <c:strCache>
                <c:ptCount val="2"/>
                <c:pt idx="0">
                  <c:v>Anterior</c:v>
                </c:pt>
                <c:pt idx="1">
                  <c:v>Actual</c:v>
                </c:pt>
              </c:strCache>
            </c:strRef>
          </c:cat>
          <c:val>
            <c:numRef>
              <c:f>Datos_energia!$G$113:$G$114</c:f>
              <c:numCache>
                <c:formatCode>_(* #,##0.00_);_(* \(#,##0.00\);_(* "-"??_);_(@_)</c:formatCode>
                <c:ptCount val="2"/>
                <c:pt idx="0">
                  <c:v>0.80854799999999993</c:v>
                </c:pt>
                <c:pt idx="1">
                  <c:v>0</c:v>
                </c:pt>
              </c:numCache>
            </c:numRef>
          </c:val>
          <c:extLst>
            <c:ext xmlns:c16="http://schemas.microsoft.com/office/drawing/2014/chart" uri="{C3380CC4-5D6E-409C-BE32-E72D297353CC}">
              <c16:uniqueId val="{00000000-A9A6-4BBB-B28C-09C7C08A1E08}"/>
            </c:ext>
          </c:extLst>
        </c:ser>
        <c:ser>
          <c:idx val="1"/>
          <c:order val="1"/>
          <c:tx>
            <c:strRef>
              <c:f>Datos_energia!$H$112</c:f>
              <c:strCache>
                <c:ptCount val="1"/>
                <c:pt idx="0">
                  <c:v>Neutralizadas</c:v>
                </c:pt>
              </c:strCache>
            </c:strRef>
          </c:tx>
          <c:spPr>
            <a:solidFill>
              <a:schemeClr val="accent4">
                <a:shade val="76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A9A6-4BBB-B28C-09C7C08A1E08}"/>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Datos_energia!$F$113:$F$114</c:f>
              <c:strCache>
                <c:ptCount val="2"/>
                <c:pt idx="0">
                  <c:v>Anterior</c:v>
                </c:pt>
                <c:pt idx="1">
                  <c:v>Actual</c:v>
                </c:pt>
              </c:strCache>
            </c:strRef>
          </c:cat>
          <c:val>
            <c:numRef>
              <c:f>Datos_energia!$H$113:$H$114</c:f>
              <c:numCache>
                <c:formatCode>_(* #,##0.00_);_(* \(#,##0.00\);_(* "-"??_);_(@_)</c:formatCode>
                <c:ptCount val="2"/>
                <c:pt idx="0">
                  <c:v>0</c:v>
                </c:pt>
                <c:pt idx="1">
                  <c:v>0.80854799999999993</c:v>
                </c:pt>
              </c:numCache>
            </c:numRef>
          </c:val>
          <c:extLst>
            <c:ext xmlns:c16="http://schemas.microsoft.com/office/drawing/2014/chart" uri="{C3380CC4-5D6E-409C-BE32-E72D297353CC}">
              <c16:uniqueId val="{00000001-A9A6-4BBB-B28C-09C7C08A1E08}"/>
            </c:ext>
          </c:extLst>
        </c:ser>
        <c:dLbls>
          <c:dLblPos val="ctr"/>
          <c:showLegendKey val="0"/>
          <c:showVal val="1"/>
          <c:showCatName val="0"/>
          <c:showSerName val="0"/>
          <c:showPercent val="0"/>
          <c:showBubbleSize val="0"/>
        </c:dLbls>
        <c:gapWidth val="79"/>
        <c:overlap val="100"/>
        <c:axId val="1238612592"/>
        <c:axId val="1238610192"/>
      </c:barChart>
      <c:catAx>
        <c:axId val="1238612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cap="all" spc="120" normalizeH="0" baseline="0">
                <a:solidFill>
                  <a:schemeClr val="tx1">
                    <a:lumMod val="65000"/>
                    <a:lumOff val="35000"/>
                  </a:schemeClr>
                </a:solidFill>
                <a:latin typeface="+mn-lt"/>
                <a:ea typeface="+mn-ea"/>
                <a:cs typeface="+mn-cs"/>
              </a:defRPr>
            </a:pPr>
            <a:endParaRPr lang="es-EC"/>
          </a:p>
        </c:txPr>
        <c:crossAx val="1238610192"/>
        <c:crosses val="autoZero"/>
        <c:auto val="1"/>
        <c:lblAlgn val="ctr"/>
        <c:lblOffset val="100"/>
        <c:noMultiLvlLbl val="0"/>
      </c:catAx>
      <c:valAx>
        <c:axId val="1238610192"/>
        <c:scaling>
          <c:orientation val="minMax"/>
        </c:scaling>
        <c:delete val="1"/>
        <c:axPos val="b"/>
        <c:numFmt formatCode="_(* #,##0.00_);_(* \(#,##0.00\);_(* &quot;-&quot;??_);_(@_)" sourceLinked="1"/>
        <c:majorTickMark val="none"/>
        <c:minorTickMark val="none"/>
        <c:tickLblPos val="nextTo"/>
        <c:crossAx val="1238612592"/>
        <c:crosses val="autoZero"/>
        <c:crossBetween val="between"/>
      </c:valAx>
      <c:spPr>
        <a:noFill/>
        <a:ln>
          <a:noFill/>
        </a:ln>
        <a:effectLst/>
      </c:spPr>
    </c:plotArea>
    <c:legend>
      <c:legendPos val="t"/>
      <c:layout>
        <c:manualLayout>
          <c:xMode val="edge"/>
          <c:yMode val="edge"/>
          <c:x val="0.25918803611471974"/>
          <c:y val="0.18378207666346139"/>
          <c:w val="0.48162358096715147"/>
          <c:h val="0.159133403724443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r>
              <a:rPr lang="es-EC" sz="1100"/>
              <a:t>EMISIONES DE GEI (tCO2)</a:t>
            </a:r>
          </a:p>
        </c:rich>
      </c:tx>
      <c:overlay val="0"/>
      <c:spPr>
        <a:noFill/>
        <a:ln>
          <a:noFill/>
        </a:ln>
        <a:effectLst/>
      </c:spPr>
      <c:txPr>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tx>
            <c:strRef>
              <c:f>'Datos Eff Energ'!$C$33</c:f>
              <c:strCache>
                <c:ptCount val="1"/>
                <c:pt idx="0">
                  <c:v>Generadas</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Eff Energ'!$B$34:$B$35</c:f>
              <c:strCache>
                <c:ptCount val="2"/>
                <c:pt idx="0">
                  <c:v>Equipo anterior</c:v>
                </c:pt>
                <c:pt idx="1">
                  <c:v>Equipo nuevo</c:v>
                </c:pt>
              </c:strCache>
            </c:strRef>
          </c:cat>
          <c:val>
            <c:numRef>
              <c:f>'Datos Eff Energ'!$C$34:$C$35</c:f>
              <c:numCache>
                <c:formatCode>_(* #,##0.00_);_(* \(#,##0.00\);_(* "-"??_);_(@_)</c:formatCode>
                <c:ptCount val="2"/>
                <c:pt idx="0">
                  <c:v>1140.5386171003718</c:v>
                </c:pt>
                <c:pt idx="1">
                  <c:v>1069.752050209205</c:v>
                </c:pt>
              </c:numCache>
            </c:numRef>
          </c:val>
          <c:extLst>
            <c:ext xmlns:c16="http://schemas.microsoft.com/office/drawing/2014/chart" uri="{C3380CC4-5D6E-409C-BE32-E72D297353CC}">
              <c16:uniqueId val="{00000000-8C95-4A81-8F05-857E50656B1C}"/>
            </c:ext>
          </c:extLst>
        </c:ser>
        <c:ser>
          <c:idx val="1"/>
          <c:order val="1"/>
          <c:tx>
            <c:strRef>
              <c:f>'Datos Eff Energ'!$D$33</c:f>
              <c:strCache>
                <c:ptCount val="1"/>
                <c:pt idx="0">
                  <c:v>Evitadas</c:v>
                </c:pt>
              </c:strCache>
            </c:strRef>
          </c:tx>
          <c:spPr>
            <a:solidFill>
              <a:schemeClr val="accent5">
                <a:shade val="76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8C95-4A81-8F05-857E50656B1C}"/>
                </c:ext>
              </c:extLst>
            </c:dLbl>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A-8C95-4A81-8F05-857E50656B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Eff Energ'!$B$34:$B$35</c:f>
              <c:strCache>
                <c:ptCount val="2"/>
                <c:pt idx="0">
                  <c:v>Equipo anterior</c:v>
                </c:pt>
                <c:pt idx="1">
                  <c:v>Equipo nuevo</c:v>
                </c:pt>
              </c:strCache>
            </c:strRef>
          </c:cat>
          <c:val>
            <c:numRef>
              <c:f>'Datos Eff Energ'!$D$34:$D$35</c:f>
              <c:numCache>
                <c:formatCode>_(* #,##0.00_);_(* \(#,##0.00\);_(* "-"??_);_(@_)</c:formatCode>
                <c:ptCount val="2"/>
                <c:pt idx="0">
                  <c:v>0</c:v>
                </c:pt>
                <c:pt idx="1">
                  <c:v>70.786566891166771</c:v>
                </c:pt>
              </c:numCache>
            </c:numRef>
          </c:val>
          <c:extLst>
            <c:ext xmlns:c16="http://schemas.microsoft.com/office/drawing/2014/chart" uri="{C3380CC4-5D6E-409C-BE32-E72D297353CC}">
              <c16:uniqueId val="{00000002-8C95-4A81-8F05-857E50656B1C}"/>
            </c:ext>
          </c:extLst>
        </c:ser>
        <c:dLbls>
          <c:dLblPos val="ctr"/>
          <c:showLegendKey val="0"/>
          <c:showVal val="1"/>
          <c:showCatName val="0"/>
          <c:showSerName val="0"/>
          <c:showPercent val="0"/>
          <c:showBubbleSize val="0"/>
        </c:dLbls>
        <c:gapWidth val="79"/>
        <c:overlap val="100"/>
        <c:axId val="835260911"/>
        <c:axId val="835247471"/>
      </c:barChart>
      <c:catAx>
        <c:axId val="8352609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cap="all" spc="120" normalizeH="0" baseline="0">
                <a:solidFill>
                  <a:schemeClr val="tx1">
                    <a:lumMod val="65000"/>
                    <a:lumOff val="35000"/>
                  </a:schemeClr>
                </a:solidFill>
                <a:latin typeface="+mn-lt"/>
                <a:ea typeface="+mn-ea"/>
                <a:cs typeface="+mn-cs"/>
              </a:defRPr>
            </a:pPr>
            <a:endParaRPr lang="es-EC"/>
          </a:p>
        </c:txPr>
        <c:crossAx val="835247471"/>
        <c:crosses val="autoZero"/>
        <c:auto val="1"/>
        <c:lblAlgn val="ctr"/>
        <c:lblOffset val="100"/>
        <c:noMultiLvlLbl val="0"/>
      </c:catAx>
      <c:valAx>
        <c:axId val="835247471"/>
        <c:scaling>
          <c:orientation val="minMax"/>
          <c:min val="0"/>
        </c:scaling>
        <c:delete val="1"/>
        <c:axPos val="b"/>
        <c:numFmt formatCode="_(* #,##0.00_);_(* \(#,##0.00\);_(* &quot;-&quot;??_);_(@_)" sourceLinked="1"/>
        <c:majorTickMark val="none"/>
        <c:minorTickMark val="none"/>
        <c:tickLblPos val="nextTo"/>
        <c:crossAx val="835260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10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spPr>
            <a:solidFill>
              <a:schemeClr val="dk1">
                <a:tint val="88500"/>
              </a:schemeClr>
            </a:solidFill>
            <a:ln>
              <a:noFill/>
            </a:ln>
            <a:effectLst/>
          </c:spPr>
          <c:invertIfNegative val="0"/>
          <c:dLbls>
            <c:dLbl>
              <c:idx val="0"/>
              <c:layout>
                <c:manualLayout>
                  <c:x val="3.544812571524269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AB-410A-8FAD-29CC9C261795}"/>
                </c:ext>
              </c:extLst>
            </c:dLbl>
            <c:dLbl>
              <c:idx val="1"/>
              <c:tx>
                <c:rich>
                  <a:bodyPr/>
                  <a:lstStyle/>
                  <a:p>
                    <a:fld id="{F0D9C18A-BC2E-47EE-9220-648BBC963A7C}" type="VALUE">
                      <a:rPr lang="en-US">
                        <a:solidFill>
                          <a:schemeClr val="bg1"/>
                        </a:solidFill>
                      </a:rPr>
                      <a:pPr/>
                      <a:t>[VALOR]</a:t>
                    </a:fld>
                    <a:endParaRPr lang="es-EC"/>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2EB5-409F-9AAF-637B9477A694}"/>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Datos_transporte!$G$47:$G$48</c:f>
              <c:strCache>
                <c:ptCount val="2"/>
                <c:pt idx="0">
                  <c:v>Bicicletas</c:v>
                </c:pt>
                <c:pt idx="1">
                  <c:v>Vehículo 
anterior</c:v>
                </c:pt>
              </c:strCache>
            </c:strRef>
          </c:cat>
          <c:val>
            <c:numRef>
              <c:f>Datos_transporte!$H$47:$H$48</c:f>
              <c:numCache>
                <c:formatCode>_(* #,##0.00_);_(* \(#,##0.00\);_(* "-"??_);_(@_)</c:formatCode>
                <c:ptCount val="2"/>
                <c:pt idx="0">
                  <c:v>0</c:v>
                </c:pt>
                <c:pt idx="1">
                  <c:v>0.44200000000000006</c:v>
                </c:pt>
              </c:numCache>
            </c:numRef>
          </c:val>
          <c:extLst>
            <c:ext xmlns:c16="http://schemas.microsoft.com/office/drawing/2014/chart" uri="{C3380CC4-5D6E-409C-BE32-E72D297353CC}">
              <c16:uniqueId val="{00000001-ECAB-410A-8FAD-29CC9C261795}"/>
            </c:ext>
          </c:extLst>
        </c:ser>
        <c:dLbls>
          <c:dLblPos val="ctr"/>
          <c:showLegendKey val="0"/>
          <c:showVal val="1"/>
          <c:showCatName val="0"/>
          <c:showSerName val="0"/>
          <c:showPercent val="0"/>
          <c:showBubbleSize val="0"/>
        </c:dLbls>
        <c:gapWidth val="79"/>
        <c:overlap val="100"/>
        <c:axId val="229525264"/>
        <c:axId val="229529584"/>
      </c:barChart>
      <c:valAx>
        <c:axId val="229529584"/>
        <c:scaling>
          <c:orientation val="minMax"/>
          <c:max val="1"/>
          <c:min val="0"/>
        </c:scaling>
        <c:delete val="1"/>
        <c:axPos val="t"/>
        <c:numFmt formatCode="_(* #,##0.00_);_(* \(#,##0.00\);_(* &quot;-&quot;??_);_(@_)" sourceLinked="1"/>
        <c:majorTickMark val="none"/>
        <c:minorTickMark val="none"/>
        <c:tickLblPos val="nextTo"/>
        <c:crossAx val="229525264"/>
        <c:crosses val="autoZero"/>
        <c:crossBetween val="between"/>
      </c:valAx>
      <c:catAx>
        <c:axId val="229525264"/>
        <c:scaling>
          <c:orientation val="maxMin"/>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EC"/>
          </a:p>
        </c:txPr>
        <c:crossAx val="22952958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05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tx>
            <c:strRef>
              <c:f>Datos_transporte!$L$8</c:f>
              <c:strCache>
                <c:ptCount val="1"/>
                <c:pt idx="0">
                  <c:v>Generadas</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Datos_transporte!$K$9:$K$10</c:f>
              <c:strCache>
                <c:ptCount val="2"/>
                <c:pt idx="0">
                  <c:v>Vehículo 
anterior</c:v>
                </c:pt>
                <c:pt idx="1">
                  <c:v>Vehículo 
híbrico</c:v>
                </c:pt>
              </c:strCache>
            </c:strRef>
          </c:cat>
          <c:val>
            <c:numRef>
              <c:f>Datos_transporte!$L$9:$L$10</c:f>
              <c:numCache>
                <c:formatCode>_(* #,##0.00_);_(* \(#,##0.00\);_(* "-"??_);_(@_)</c:formatCode>
                <c:ptCount val="2"/>
                <c:pt idx="0">
                  <c:v>3.6</c:v>
                </c:pt>
                <c:pt idx="1">
                  <c:v>1.5</c:v>
                </c:pt>
              </c:numCache>
            </c:numRef>
          </c:val>
          <c:extLst>
            <c:ext xmlns:c16="http://schemas.microsoft.com/office/drawing/2014/chart" uri="{C3380CC4-5D6E-409C-BE32-E72D297353CC}">
              <c16:uniqueId val="{00000000-3D68-4BF8-AD8E-D56BB6218142}"/>
            </c:ext>
          </c:extLst>
        </c:ser>
        <c:ser>
          <c:idx val="1"/>
          <c:order val="1"/>
          <c:tx>
            <c:strRef>
              <c:f>Datos_transporte!$M$8</c:f>
              <c:strCache>
                <c:ptCount val="1"/>
                <c:pt idx="0">
                  <c:v>Evitadas</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Datos_transporte!$K$9:$K$10</c:f>
              <c:strCache>
                <c:ptCount val="2"/>
                <c:pt idx="0">
                  <c:v>Vehículo 
anterior</c:v>
                </c:pt>
                <c:pt idx="1">
                  <c:v>Vehículo 
híbrico</c:v>
                </c:pt>
              </c:strCache>
            </c:strRef>
          </c:cat>
          <c:val>
            <c:numRef>
              <c:f>Datos_transporte!$M$9:$M$10</c:f>
              <c:numCache>
                <c:formatCode>_(* #,##0.00_);_(* \(#,##0.00\);_(* "-"??_);_(@_)</c:formatCode>
                <c:ptCount val="2"/>
                <c:pt idx="0">
                  <c:v>0</c:v>
                </c:pt>
                <c:pt idx="1">
                  <c:v>2.1</c:v>
                </c:pt>
              </c:numCache>
            </c:numRef>
          </c:val>
          <c:extLst>
            <c:ext xmlns:c16="http://schemas.microsoft.com/office/drawing/2014/chart" uri="{C3380CC4-5D6E-409C-BE32-E72D297353CC}">
              <c16:uniqueId val="{00000001-3D68-4BF8-AD8E-D56BB6218142}"/>
            </c:ext>
          </c:extLst>
        </c:ser>
        <c:dLbls>
          <c:dLblPos val="ctr"/>
          <c:showLegendKey val="0"/>
          <c:showVal val="1"/>
          <c:showCatName val="0"/>
          <c:showSerName val="0"/>
          <c:showPercent val="0"/>
          <c:showBubbleSize val="0"/>
        </c:dLbls>
        <c:gapWidth val="79"/>
        <c:overlap val="100"/>
        <c:axId val="898327311"/>
        <c:axId val="898318671"/>
      </c:barChart>
      <c:catAx>
        <c:axId val="8983273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EC"/>
          </a:p>
        </c:txPr>
        <c:crossAx val="898318671"/>
        <c:crosses val="autoZero"/>
        <c:auto val="1"/>
        <c:lblAlgn val="ctr"/>
        <c:lblOffset val="100"/>
        <c:noMultiLvlLbl val="0"/>
      </c:catAx>
      <c:valAx>
        <c:axId val="898318671"/>
        <c:scaling>
          <c:orientation val="minMax"/>
        </c:scaling>
        <c:delete val="1"/>
        <c:axPos val="b"/>
        <c:numFmt formatCode="_(* #,##0.00_);_(* \(#,##0.00\);_(* &quot;-&quot;??_);_(@_)" sourceLinked="1"/>
        <c:majorTickMark val="none"/>
        <c:minorTickMark val="none"/>
        <c:tickLblPos val="nextTo"/>
        <c:crossAx val="8983273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05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tx>
            <c:strRef>
              <c:f>Datos_transporte!$G$33</c:f>
              <c:strCache>
                <c:ptCount val="1"/>
                <c:pt idx="0">
                  <c:v>Generadas</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Datos_transporte!$F$34:$F$35</c:f>
              <c:strCache>
                <c:ptCount val="2"/>
                <c:pt idx="0">
                  <c:v>Vehículo 
anterior</c:v>
                </c:pt>
                <c:pt idx="1">
                  <c:v>Vehículo 
híbrico</c:v>
                </c:pt>
              </c:strCache>
            </c:strRef>
          </c:cat>
          <c:val>
            <c:numRef>
              <c:f>Datos_transporte!$G$34:$G$35</c:f>
              <c:numCache>
                <c:formatCode>_(* #,##0.00_);_(* \(#,##0.00\);_(* "-"??_);_(@_)</c:formatCode>
                <c:ptCount val="2"/>
                <c:pt idx="0">
                  <c:v>3.6000000000000005</c:v>
                </c:pt>
                <c:pt idx="1">
                  <c:v>1.06308</c:v>
                </c:pt>
              </c:numCache>
            </c:numRef>
          </c:val>
          <c:extLst>
            <c:ext xmlns:c16="http://schemas.microsoft.com/office/drawing/2014/chart" uri="{C3380CC4-5D6E-409C-BE32-E72D297353CC}">
              <c16:uniqueId val="{00000000-8B33-4BF4-B67F-BA18355DB5D5}"/>
            </c:ext>
          </c:extLst>
        </c:ser>
        <c:ser>
          <c:idx val="1"/>
          <c:order val="1"/>
          <c:tx>
            <c:strRef>
              <c:f>Datos_transporte!$H$33</c:f>
              <c:strCache>
                <c:ptCount val="1"/>
                <c:pt idx="0">
                  <c:v>Evitadas</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Datos_transporte!$F$34:$F$35</c:f>
              <c:strCache>
                <c:ptCount val="2"/>
                <c:pt idx="0">
                  <c:v>Vehículo 
anterior</c:v>
                </c:pt>
                <c:pt idx="1">
                  <c:v>Vehículo 
híbrico</c:v>
                </c:pt>
              </c:strCache>
            </c:strRef>
          </c:cat>
          <c:val>
            <c:numRef>
              <c:f>Datos_transporte!$H$34:$H$35</c:f>
              <c:numCache>
                <c:formatCode>_(* #,##0.00_);_(* \(#,##0.00\);_(* "-"??_);_(@_)</c:formatCode>
                <c:ptCount val="2"/>
                <c:pt idx="0">
                  <c:v>0</c:v>
                </c:pt>
                <c:pt idx="1">
                  <c:v>2.5369200000000003</c:v>
                </c:pt>
              </c:numCache>
            </c:numRef>
          </c:val>
          <c:extLst>
            <c:ext xmlns:c16="http://schemas.microsoft.com/office/drawing/2014/chart" uri="{C3380CC4-5D6E-409C-BE32-E72D297353CC}">
              <c16:uniqueId val="{00000001-8B33-4BF4-B67F-BA18355DB5D5}"/>
            </c:ext>
          </c:extLst>
        </c:ser>
        <c:dLbls>
          <c:dLblPos val="ctr"/>
          <c:showLegendKey val="0"/>
          <c:showVal val="1"/>
          <c:showCatName val="0"/>
          <c:showSerName val="0"/>
          <c:showPercent val="0"/>
          <c:showBubbleSize val="0"/>
        </c:dLbls>
        <c:gapWidth val="79"/>
        <c:overlap val="100"/>
        <c:axId val="898327311"/>
        <c:axId val="898318671"/>
      </c:barChart>
      <c:catAx>
        <c:axId val="8983273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EC"/>
          </a:p>
        </c:txPr>
        <c:crossAx val="898318671"/>
        <c:crosses val="autoZero"/>
        <c:auto val="1"/>
        <c:lblAlgn val="ctr"/>
        <c:lblOffset val="100"/>
        <c:noMultiLvlLbl val="0"/>
      </c:catAx>
      <c:valAx>
        <c:axId val="898318671"/>
        <c:scaling>
          <c:orientation val="minMax"/>
        </c:scaling>
        <c:delete val="1"/>
        <c:axPos val="b"/>
        <c:numFmt formatCode="_(* #,##0.00_);_(* \(#,##0.00\);_(* &quot;-&quot;??_);_(@_)" sourceLinked="1"/>
        <c:majorTickMark val="none"/>
        <c:minorTickMark val="none"/>
        <c:tickLblPos val="nextTo"/>
        <c:crossAx val="8983273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05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tx>
            <c:strRef>
              <c:f>Datos_transporte!$G$66</c:f>
              <c:strCache>
                <c:ptCount val="1"/>
                <c:pt idx="0">
                  <c:v>Generadas</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Datos_transporte!$F$67:$F$68</c:f>
              <c:strCache>
                <c:ptCount val="2"/>
                <c:pt idx="0">
                  <c:v>Equipo 
anterior</c:v>
                </c:pt>
                <c:pt idx="1">
                  <c:v>Equipo 
híbrico</c:v>
                </c:pt>
              </c:strCache>
            </c:strRef>
          </c:cat>
          <c:val>
            <c:numRef>
              <c:f>Datos_transporte!$G$67:$G$68</c:f>
              <c:numCache>
                <c:formatCode>_(* #,##0.00_);_(* \(#,##0.00\);_(* "-"??_);_(@_)</c:formatCode>
                <c:ptCount val="2"/>
                <c:pt idx="0">
                  <c:v>19.821984</c:v>
                </c:pt>
                <c:pt idx="1">
                  <c:v>3.778782997762864</c:v>
                </c:pt>
              </c:numCache>
            </c:numRef>
          </c:val>
          <c:extLst>
            <c:ext xmlns:c16="http://schemas.microsoft.com/office/drawing/2014/chart" uri="{C3380CC4-5D6E-409C-BE32-E72D297353CC}">
              <c16:uniqueId val="{00000000-8B89-4067-8E61-81F4BDC4A5FD}"/>
            </c:ext>
          </c:extLst>
        </c:ser>
        <c:ser>
          <c:idx val="1"/>
          <c:order val="1"/>
          <c:tx>
            <c:strRef>
              <c:f>Datos_transporte!$H$66</c:f>
              <c:strCache>
                <c:ptCount val="1"/>
                <c:pt idx="0">
                  <c:v>Evitadas</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Datos_transporte!$F$67:$F$68</c:f>
              <c:strCache>
                <c:ptCount val="2"/>
                <c:pt idx="0">
                  <c:v>Equipo 
anterior</c:v>
                </c:pt>
                <c:pt idx="1">
                  <c:v>Equipo 
híbrico</c:v>
                </c:pt>
              </c:strCache>
            </c:strRef>
          </c:cat>
          <c:val>
            <c:numRef>
              <c:f>Datos_transporte!$H$67:$H$68</c:f>
              <c:numCache>
                <c:formatCode>_(* #,##0.00_);_(* \(#,##0.00\);_(* "-"??_);_(@_)</c:formatCode>
                <c:ptCount val="2"/>
                <c:pt idx="0">
                  <c:v>0</c:v>
                </c:pt>
                <c:pt idx="1">
                  <c:v>16.043201002237137</c:v>
                </c:pt>
              </c:numCache>
            </c:numRef>
          </c:val>
          <c:extLst>
            <c:ext xmlns:c16="http://schemas.microsoft.com/office/drawing/2014/chart" uri="{C3380CC4-5D6E-409C-BE32-E72D297353CC}">
              <c16:uniqueId val="{00000001-8B89-4067-8E61-81F4BDC4A5FD}"/>
            </c:ext>
          </c:extLst>
        </c:ser>
        <c:dLbls>
          <c:dLblPos val="ctr"/>
          <c:showLegendKey val="0"/>
          <c:showVal val="1"/>
          <c:showCatName val="0"/>
          <c:showSerName val="0"/>
          <c:showPercent val="0"/>
          <c:showBubbleSize val="0"/>
        </c:dLbls>
        <c:gapWidth val="79"/>
        <c:overlap val="100"/>
        <c:axId val="898327311"/>
        <c:axId val="898318671"/>
      </c:barChart>
      <c:catAx>
        <c:axId val="8983273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EC"/>
          </a:p>
        </c:txPr>
        <c:crossAx val="898318671"/>
        <c:crosses val="autoZero"/>
        <c:auto val="1"/>
        <c:lblAlgn val="ctr"/>
        <c:lblOffset val="100"/>
        <c:noMultiLvlLbl val="0"/>
      </c:catAx>
      <c:valAx>
        <c:axId val="898318671"/>
        <c:scaling>
          <c:orientation val="minMax"/>
        </c:scaling>
        <c:delete val="1"/>
        <c:axPos val="b"/>
        <c:numFmt formatCode="_(* #,##0.00_);_(* \(#,##0.00\);_(* &quot;-&quot;??_);_(@_)" sourceLinked="1"/>
        <c:majorTickMark val="none"/>
        <c:minorTickMark val="none"/>
        <c:tickLblPos val="nextTo"/>
        <c:crossAx val="8983273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05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tx>
            <c:strRef>
              <c:f>'Datos Eff Energ'!$G$57</c:f>
              <c:strCache>
                <c:ptCount val="1"/>
                <c:pt idx="0">
                  <c:v>Generadas</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Eff Energ'!$F$58:$F$59</c:f>
              <c:strCache>
                <c:ptCount val="2"/>
                <c:pt idx="0">
                  <c:v>Equipo anterior</c:v>
                </c:pt>
                <c:pt idx="1">
                  <c:v>Equipo nuevo</c:v>
                </c:pt>
              </c:strCache>
            </c:strRef>
          </c:cat>
          <c:val>
            <c:numRef>
              <c:f>'Datos Eff Energ'!$G$58:$G$59</c:f>
              <c:numCache>
                <c:formatCode>_(* #,##0.00_);_(* \(#,##0.00\);_(* "-"??_);_(@_)</c:formatCode>
                <c:ptCount val="2"/>
                <c:pt idx="0">
                  <c:v>1.4465199468452561E-3</c:v>
                </c:pt>
                <c:pt idx="1">
                  <c:v>1.265704953489599E-3</c:v>
                </c:pt>
              </c:numCache>
            </c:numRef>
          </c:val>
          <c:extLst>
            <c:ext xmlns:c16="http://schemas.microsoft.com/office/drawing/2014/chart" uri="{C3380CC4-5D6E-409C-BE32-E72D297353CC}">
              <c16:uniqueId val="{00000000-6864-4216-AA73-B93443F39FA3}"/>
            </c:ext>
          </c:extLst>
        </c:ser>
        <c:ser>
          <c:idx val="1"/>
          <c:order val="1"/>
          <c:tx>
            <c:strRef>
              <c:f>'Datos Eff Energ'!$H$57</c:f>
              <c:strCache>
                <c:ptCount val="1"/>
                <c:pt idx="0">
                  <c:v>Evitadas</c:v>
                </c:pt>
              </c:strCache>
            </c:strRef>
          </c:tx>
          <c:spPr>
            <a:solidFill>
              <a:schemeClr val="accent5">
                <a:shade val="76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6864-4216-AA73-B93443F39FA3}"/>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Eff Energ'!$F$58:$F$59</c:f>
              <c:strCache>
                <c:ptCount val="2"/>
                <c:pt idx="0">
                  <c:v>Equipo anterior</c:v>
                </c:pt>
                <c:pt idx="1">
                  <c:v>Equipo nuevo</c:v>
                </c:pt>
              </c:strCache>
            </c:strRef>
          </c:cat>
          <c:val>
            <c:numRef>
              <c:f>'Datos Eff Energ'!$H$58:$H$59</c:f>
              <c:numCache>
                <c:formatCode>_(* #,##0.00_);_(* \(#,##0.00\);_(* "-"??_);_(@_)</c:formatCode>
                <c:ptCount val="2"/>
                <c:pt idx="0">
                  <c:v>0</c:v>
                </c:pt>
                <c:pt idx="1">
                  <c:v>1.8081499335565718E-4</c:v>
                </c:pt>
              </c:numCache>
            </c:numRef>
          </c:val>
          <c:extLst>
            <c:ext xmlns:c16="http://schemas.microsoft.com/office/drawing/2014/chart" uri="{C3380CC4-5D6E-409C-BE32-E72D297353CC}">
              <c16:uniqueId val="{00000002-6864-4216-AA73-B93443F39FA3}"/>
            </c:ext>
          </c:extLst>
        </c:ser>
        <c:dLbls>
          <c:dLblPos val="ctr"/>
          <c:showLegendKey val="0"/>
          <c:showVal val="1"/>
          <c:showCatName val="0"/>
          <c:showSerName val="0"/>
          <c:showPercent val="0"/>
          <c:showBubbleSize val="0"/>
        </c:dLbls>
        <c:gapWidth val="79"/>
        <c:overlap val="100"/>
        <c:axId val="739663295"/>
        <c:axId val="739667135"/>
      </c:barChart>
      <c:catAx>
        <c:axId val="7396632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cap="all" spc="120" normalizeH="0" baseline="0">
                <a:solidFill>
                  <a:schemeClr val="tx1">
                    <a:lumMod val="65000"/>
                    <a:lumOff val="35000"/>
                  </a:schemeClr>
                </a:solidFill>
                <a:latin typeface="+mn-lt"/>
                <a:ea typeface="+mn-ea"/>
                <a:cs typeface="+mn-cs"/>
              </a:defRPr>
            </a:pPr>
            <a:endParaRPr lang="es-EC"/>
          </a:p>
        </c:txPr>
        <c:crossAx val="739667135"/>
        <c:crosses val="autoZero"/>
        <c:auto val="1"/>
        <c:lblAlgn val="ctr"/>
        <c:lblOffset val="100"/>
        <c:noMultiLvlLbl val="0"/>
      </c:catAx>
      <c:valAx>
        <c:axId val="739667135"/>
        <c:scaling>
          <c:orientation val="minMax"/>
          <c:min val="0"/>
        </c:scaling>
        <c:delete val="1"/>
        <c:axPos val="b"/>
        <c:numFmt formatCode="_(* #,##0.00_);_(* \(#,##0.00\);_(* &quot;-&quot;??_);_(@_)" sourceLinked="1"/>
        <c:majorTickMark val="none"/>
        <c:minorTickMark val="none"/>
        <c:tickLblPos val="nextTo"/>
        <c:crossAx val="73966329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05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tx>
            <c:strRef>
              <c:f>'Datos Eff Energ'!$D$120</c:f>
              <c:strCache>
                <c:ptCount val="1"/>
                <c:pt idx="0">
                  <c:v>Generadas</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Eff Energ'!$C$121:$C$122</c:f>
              <c:strCache>
                <c:ptCount val="2"/>
                <c:pt idx="0">
                  <c:v>Equipo anterior</c:v>
                </c:pt>
                <c:pt idx="1">
                  <c:v>Equipo nuevo</c:v>
                </c:pt>
              </c:strCache>
            </c:strRef>
          </c:cat>
          <c:val>
            <c:numRef>
              <c:f>'Datos Eff Energ'!$D$121:$D$122</c:f>
              <c:numCache>
                <c:formatCode>_(* #,##0.00_);_(* \(#,##0.00\);_(* "-"??_);_(@_)</c:formatCode>
                <c:ptCount val="2"/>
                <c:pt idx="0">
                  <c:v>9.0066500000000008E-2</c:v>
                </c:pt>
                <c:pt idx="1">
                  <c:v>6.0796364000000006E-2</c:v>
                </c:pt>
              </c:numCache>
            </c:numRef>
          </c:val>
          <c:extLst>
            <c:ext xmlns:c16="http://schemas.microsoft.com/office/drawing/2014/chart" uri="{C3380CC4-5D6E-409C-BE32-E72D297353CC}">
              <c16:uniqueId val="{00000000-C8A4-4129-832A-CDB9DB245069}"/>
            </c:ext>
          </c:extLst>
        </c:ser>
        <c:ser>
          <c:idx val="1"/>
          <c:order val="1"/>
          <c:tx>
            <c:strRef>
              <c:f>'Datos Eff Energ'!$E$120</c:f>
              <c:strCache>
                <c:ptCount val="1"/>
                <c:pt idx="0">
                  <c:v>Evitadas</c:v>
                </c:pt>
              </c:strCache>
            </c:strRef>
          </c:tx>
          <c:spPr>
            <a:solidFill>
              <a:schemeClr val="accent5">
                <a:shade val="76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8A4-4129-832A-CDB9DB245069}"/>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Eff Energ'!$C$121:$C$122</c:f>
              <c:strCache>
                <c:ptCount val="2"/>
                <c:pt idx="0">
                  <c:v>Equipo anterior</c:v>
                </c:pt>
                <c:pt idx="1">
                  <c:v>Equipo nuevo</c:v>
                </c:pt>
              </c:strCache>
            </c:strRef>
          </c:cat>
          <c:val>
            <c:numRef>
              <c:f>'Datos Eff Energ'!$E$121:$E$122</c:f>
              <c:numCache>
                <c:formatCode>_(* #,##0.00_);_(* \(#,##0.00\);_(* "-"??_);_(@_)</c:formatCode>
                <c:ptCount val="2"/>
                <c:pt idx="0">
                  <c:v>0</c:v>
                </c:pt>
                <c:pt idx="1">
                  <c:v>2.9270136000000002E-2</c:v>
                </c:pt>
              </c:numCache>
            </c:numRef>
          </c:val>
          <c:extLst>
            <c:ext xmlns:c16="http://schemas.microsoft.com/office/drawing/2014/chart" uri="{C3380CC4-5D6E-409C-BE32-E72D297353CC}">
              <c16:uniqueId val="{00000002-C8A4-4129-832A-CDB9DB245069}"/>
            </c:ext>
          </c:extLst>
        </c:ser>
        <c:dLbls>
          <c:dLblPos val="ctr"/>
          <c:showLegendKey val="0"/>
          <c:showVal val="1"/>
          <c:showCatName val="0"/>
          <c:showSerName val="0"/>
          <c:showPercent val="0"/>
          <c:showBubbleSize val="0"/>
        </c:dLbls>
        <c:gapWidth val="79"/>
        <c:overlap val="100"/>
        <c:axId val="739663295"/>
        <c:axId val="739667135"/>
      </c:barChart>
      <c:catAx>
        <c:axId val="7396632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cap="all" spc="120" normalizeH="0" baseline="0">
                <a:solidFill>
                  <a:schemeClr val="tx1">
                    <a:lumMod val="65000"/>
                    <a:lumOff val="35000"/>
                  </a:schemeClr>
                </a:solidFill>
                <a:latin typeface="+mn-lt"/>
                <a:ea typeface="+mn-ea"/>
                <a:cs typeface="+mn-cs"/>
              </a:defRPr>
            </a:pPr>
            <a:endParaRPr lang="es-EC"/>
          </a:p>
        </c:txPr>
        <c:crossAx val="739667135"/>
        <c:crosses val="autoZero"/>
        <c:auto val="1"/>
        <c:lblAlgn val="ctr"/>
        <c:lblOffset val="100"/>
        <c:noMultiLvlLbl val="0"/>
      </c:catAx>
      <c:valAx>
        <c:axId val="739667135"/>
        <c:scaling>
          <c:orientation val="minMax"/>
          <c:min val="0"/>
        </c:scaling>
        <c:delete val="1"/>
        <c:axPos val="b"/>
        <c:numFmt formatCode="_(* #,##0.00_);_(* \(#,##0.00\);_(* &quot;-&quot;??_);_(@_)" sourceLinked="1"/>
        <c:majorTickMark val="none"/>
        <c:minorTickMark val="none"/>
        <c:tickLblPos val="nextTo"/>
        <c:crossAx val="73966329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05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tx>
            <c:strRef>
              <c:f>'Datos Eff Energ'!$H$139</c:f>
              <c:strCache>
                <c:ptCount val="1"/>
                <c:pt idx="0">
                  <c:v>Generadas</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Eff Energ'!$G$140:$G$141</c:f>
              <c:strCache>
                <c:ptCount val="2"/>
                <c:pt idx="0">
                  <c:v>Equipo anterior</c:v>
                </c:pt>
                <c:pt idx="1">
                  <c:v>Equipo nuevo</c:v>
                </c:pt>
              </c:strCache>
            </c:strRef>
          </c:cat>
          <c:val>
            <c:numRef>
              <c:f>'Datos Eff Energ'!$H$140:$H$141</c:f>
              <c:numCache>
                <c:formatCode>_(* #,##0.00_);_(* \(#,##0.00\);_(* "-"??_);_(@_)</c:formatCode>
                <c:ptCount val="2"/>
                <c:pt idx="0">
                  <c:v>5.3313794319606658E-2</c:v>
                </c:pt>
                <c:pt idx="1">
                  <c:v>2.2391793614234802E-2</c:v>
                </c:pt>
              </c:numCache>
            </c:numRef>
          </c:val>
          <c:extLst>
            <c:ext xmlns:c16="http://schemas.microsoft.com/office/drawing/2014/chart" uri="{C3380CC4-5D6E-409C-BE32-E72D297353CC}">
              <c16:uniqueId val="{00000000-EFF0-4449-988E-02BC1EEDE66D}"/>
            </c:ext>
          </c:extLst>
        </c:ser>
        <c:ser>
          <c:idx val="1"/>
          <c:order val="1"/>
          <c:tx>
            <c:strRef>
              <c:f>'Datos Eff Energ'!$I$139</c:f>
              <c:strCache>
                <c:ptCount val="1"/>
                <c:pt idx="0">
                  <c:v>Evitadas</c:v>
                </c:pt>
              </c:strCache>
            </c:strRef>
          </c:tx>
          <c:spPr>
            <a:solidFill>
              <a:schemeClr val="accent5">
                <a:shade val="76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EFF0-4449-988E-02BC1EEDE66D}"/>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Eff Energ'!$G$140:$G$141</c:f>
              <c:strCache>
                <c:ptCount val="2"/>
                <c:pt idx="0">
                  <c:v>Equipo anterior</c:v>
                </c:pt>
                <c:pt idx="1">
                  <c:v>Equipo nuevo</c:v>
                </c:pt>
              </c:strCache>
            </c:strRef>
          </c:cat>
          <c:val>
            <c:numRef>
              <c:f>'Datos Eff Energ'!$I$140:$I$141</c:f>
              <c:numCache>
                <c:formatCode>_(* #,##0.00_);_(* \(#,##0.00\);_(* "-"??_);_(@_)</c:formatCode>
                <c:ptCount val="2"/>
                <c:pt idx="0">
                  <c:v>0</c:v>
                </c:pt>
                <c:pt idx="1">
                  <c:v>3.092200070537186E-2</c:v>
                </c:pt>
              </c:numCache>
            </c:numRef>
          </c:val>
          <c:extLst>
            <c:ext xmlns:c16="http://schemas.microsoft.com/office/drawing/2014/chart" uri="{C3380CC4-5D6E-409C-BE32-E72D297353CC}">
              <c16:uniqueId val="{00000002-EFF0-4449-988E-02BC1EEDE66D}"/>
            </c:ext>
          </c:extLst>
        </c:ser>
        <c:dLbls>
          <c:dLblPos val="ctr"/>
          <c:showLegendKey val="0"/>
          <c:showVal val="1"/>
          <c:showCatName val="0"/>
          <c:showSerName val="0"/>
          <c:showPercent val="0"/>
          <c:showBubbleSize val="0"/>
        </c:dLbls>
        <c:gapWidth val="79"/>
        <c:overlap val="100"/>
        <c:axId val="739663295"/>
        <c:axId val="739667135"/>
      </c:barChart>
      <c:catAx>
        <c:axId val="7396632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cap="all" spc="120" normalizeH="0" baseline="0">
                <a:solidFill>
                  <a:schemeClr val="tx1">
                    <a:lumMod val="65000"/>
                    <a:lumOff val="35000"/>
                  </a:schemeClr>
                </a:solidFill>
                <a:latin typeface="+mn-lt"/>
                <a:ea typeface="+mn-ea"/>
                <a:cs typeface="+mn-cs"/>
              </a:defRPr>
            </a:pPr>
            <a:endParaRPr lang="es-EC"/>
          </a:p>
        </c:txPr>
        <c:crossAx val="739667135"/>
        <c:crosses val="autoZero"/>
        <c:auto val="1"/>
        <c:lblAlgn val="ctr"/>
        <c:lblOffset val="100"/>
        <c:noMultiLvlLbl val="0"/>
      </c:catAx>
      <c:valAx>
        <c:axId val="739667135"/>
        <c:scaling>
          <c:orientation val="minMax"/>
          <c:min val="0"/>
        </c:scaling>
        <c:delete val="1"/>
        <c:axPos val="b"/>
        <c:numFmt formatCode="_(* #,##0.00_);_(* \(#,##0.00\);_(* &quot;-&quot;??_);_(@_)" sourceLinked="1"/>
        <c:majorTickMark val="none"/>
        <c:minorTickMark val="none"/>
        <c:tickLblPos val="nextTo"/>
        <c:crossAx val="73966329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05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tx>
            <c:strRef>
              <c:f>'Datos Eff Energ'!$G$66</c:f>
              <c:strCache>
                <c:ptCount val="1"/>
                <c:pt idx="0">
                  <c:v>Generadas</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Eff Energ'!$F$67:$F$68</c:f>
              <c:strCache>
                <c:ptCount val="2"/>
                <c:pt idx="0">
                  <c:v>Equipo anterior</c:v>
                </c:pt>
                <c:pt idx="1">
                  <c:v>Equipo nuevo</c:v>
                </c:pt>
              </c:strCache>
            </c:strRef>
          </c:cat>
          <c:val>
            <c:numRef>
              <c:f>'Datos Eff Energ'!$G$67:$G$68</c:f>
              <c:numCache>
                <c:formatCode>_(* #,##0.00_);_(* \(#,##0.00\);_(* "-"??_);_(@_)</c:formatCode>
                <c:ptCount val="2"/>
                <c:pt idx="0">
                  <c:v>153.55599999999998</c:v>
                </c:pt>
                <c:pt idx="1">
                  <c:v>23.0334</c:v>
                </c:pt>
              </c:numCache>
            </c:numRef>
          </c:val>
          <c:extLst>
            <c:ext xmlns:c16="http://schemas.microsoft.com/office/drawing/2014/chart" uri="{C3380CC4-5D6E-409C-BE32-E72D297353CC}">
              <c16:uniqueId val="{00000000-4854-443E-A8CA-139C3F0F739B}"/>
            </c:ext>
          </c:extLst>
        </c:ser>
        <c:ser>
          <c:idx val="1"/>
          <c:order val="1"/>
          <c:tx>
            <c:strRef>
              <c:f>'Datos Eff Energ'!$H$66</c:f>
              <c:strCache>
                <c:ptCount val="1"/>
                <c:pt idx="0">
                  <c:v>Evitadas</c:v>
                </c:pt>
              </c:strCache>
            </c:strRef>
          </c:tx>
          <c:spPr>
            <a:solidFill>
              <a:schemeClr val="accent5">
                <a:shade val="76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4854-443E-A8CA-139C3F0F739B}"/>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Eff Energ'!$F$67:$F$68</c:f>
              <c:strCache>
                <c:ptCount val="2"/>
                <c:pt idx="0">
                  <c:v>Equipo anterior</c:v>
                </c:pt>
                <c:pt idx="1">
                  <c:v>Equipo nuevo</c:v>
                </c:pt>
              </c:strCache>
            </c:strRef>
          </c:cat>
          <c:val>
            <c:numRef>
              <c:f>'Datos Eff Energ'!$H$67:$H$68</c:f>
              <c:numCache>
                <c:formatCode>_(* #,##0.00_);_(* \(#,##0.00\);_(* "-"??_);_(@_)</c:formatCode>
                <c:ptCount val="2"/>
                <c:pt idx="0">
                  <c:v>0</c:v>
                </c:pt>
                <c:pt idx="1">
                  <c:v>130.52259999999998</c:v>
                </c:pt>
              </c:numCache>
            </c:numRef>
          </c:val>
          <c:extLst>
            <c:ext xmlns:c16="http://schemas.microsoft.com/office/drawing/2014/chart" uri="{C3380CC4-5D6E-409C-BE32-E72D297353CC}">
              <c16:uniqueId val="{00000002-4854-443E-A8CA-139C3F0F739B}"/>
            </c:ext>
          </c:extLst>
        </c:ser>
        <c:dLbls>
          <c:dLblPos val="ctr"/>
          <c:showLegendKey val="0"/>
          <c:showVal val="1"/>
          <c:showCatName val="0"/>
          <c:showSerName val="0"/>
          <c:showPercent val="0"/>
          <c:showBubbleSize val="0"/>
        </c:dLbls>
        <c:gapWidth val="79"/>
        <c:overlap val="100"/>
        <c:axId val="739663295"/>
        <c:axId val="739667135"/>
      </c:barChart>
      <c:catAx>
        <c:axId val="7396632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cap="all" spc="120" normalizeH="0" baseline="0">
                <a:solidFill>
                  <a:schemeClr val="tx1">
                    <a:lumMod val="65000"/>
                    <a:lumOff val="35000"/>
                  </a:schemeClr>
                </a:solidFill>
                <a:latin typeface="+mn-lt"/>
                <a:ea typeface="+mn-ea"/>
                <a:cs typeface="+mn-cs"/>
              </a:defRPr>
            </a:pPr>
            <a:endParaRPr lang="es-EC"/>
          </a:p>
        </c:txPr>
        <c:crossAx val="739667135"/>
        <c:crosses val="autoZero"/>
        <c:auto val="1"/>
        <c:lblAlgn val="ctr"/>
        <c:lblOffset val="100"/>
        <c:noMultiLvlLbl val="0"/>
      </c:catAx>
      <c:valAx>
        <c:axId val="739667135"/>
        <c:scaling>
          <c:orientation val="minMax"/>
          <c:min val="0"/>
        </c:scaling>
        <c:delete val="1"/>
        <c:axPos val="b"/>
        <c:numFmt formatCode="_(* #,##0.00_);_(* \(#,##0.00\);_(* &quot;-&quot;??_);_(@_)" sourceLinked="1"/>
        <c:majorTickMark val="none"/>
        <c:minorTickMark val="none"/>
        <c:tickLblPos val="nextTo"/>
        <c:crossAx val="73966329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05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tx>
            <c:strRef>
              <c:f>'Datos Eff Energ'!$H$97</c:f>
              <c:strCache>
                <c:ptCount val="1"/>
                <c:pt idx="0">
                  <c:v>Generadas</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Eff Energ'!$G$98:$G$99</c:f>
              <c:strCache>
                <c:ptCount val="2"/>
                <c:pt idx="0">
                  <c:v>Equipo anterior</c:v>
                </c:pt>
                <c:pt idx="1">
                  <c:v>Equipo nuevo</c:v>
                </c:pt>
              </c:strCache>
            </c:strRef>
          </c:cat>
          <c:val>
            <c:numRef>
              <c:f>'Datos Eff Energ'!$H$98:$H$99</c:f>
              <c:numCache>
                <c:formatCode>_(* #,##0.000_);_(* \(#,##0.000\);_(* "-"??_);_(@_)</c:formatCode>
                <c:ptCount val="2"/>
                <c:pt idx="0">
                  <c:v>4.4295000000000003E-3</c:v>
                </c:pt>
                <c:pt idx="1">
                  <c:v>3.9021785714285712E-3</c:v>
                </c:pt>
              </c:numCache>
            </c:numRef>
          </c:val>
          <c:extLst>
            <c:ext xmlns:c16="http://schemas.microsoft.com/office/drawing/2014/chart" uri="{C3380CC4-5D6E-409C-BE32-E72D297353CC}">
              <c16:uniqueId val="{00000000-6242-4567-9548-26C1CE5C87C6}"/>
            </c:ext>
          </c:extLst>
        </c:ser>
        <c:ser>
          <c:idx val="1"/>
          <c:order val="1"/>
          <c:tx>
            <c:strRef>
              <c:f>'Datos Eff Energ'!$I$97</c:f>
              <c:strCache>
                <c:ptCount val="1"/>
                <c:pt idx="0">
                  <c:v>Evitadas</c:v>
                </c:pt>
              </c:strCache>
            </c:strRef>
          </c:tx>
          <c:spPr>
            <a:solidFill>
              <a:schemeClr val="accent5">
                <a:shade val="76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6242-4567-9548-26C1CE5C87C6}"/>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Eff Energ'!$G$98:$G$99</c:f>
              <c:strCache>
                <c:ptCount val="2"/>
                <c:pt idx="0">
                  <c:v>Equipo anterior</c:v>
                </c:pt>
                <c:pt idx="1">
                  <c:v>Equipo nuevo</c:v>
                </c:pt>
              </c:strCache>
            </c:strRef>
          </c:cat>
          <c:val>
            <c:numRef>
              <c:f>'Datos Eff Energ'!$I$98:$I$99</c:f>
              <c:numCache>
                <c:formatCode>_(* #,##0.000_);_(* \(#,##0.000\);_(* "-"??_);_(@_)</c:formatCode>
                <c:ptCount val="2"/>
                <c:pt idx="0">
                  <c:v>0</c:v>
                </c:pt>
                <c:pt idx="1">
                  <c:v>5.2732142857142886E-4</c:v>
                </c:pt>
              </c:numCache>
            </c:numRef>
          </c:val>
          <c:extLst>
            <c:ext xmlns:c16="http://schemas.microsoft.com/office/drawing/2014/chart" uri="{C3380CC4-5D6E-409C-BE32-E72D297353CC}">
              <c16:uniqueId val="{00000002-6242-4567-9548-26C1CE5C87C6}"/>
            </c:ext>
          </c:extLst>
        </c:ser>
        <c:dLbls>
          <c:dLblPos val="ctr"/>
          <c:showLegendKey val="0"/>
          <c:showVal val="1"/>
          <c:showCatName val="0"/>
          <c:showSerName val="0"/>
          <c:showPercent val="0"/>
          <c:showBubbleSize val="0"/>
        </c:dLbls>
        <c:gapWidth val="79"/>
        <c:overlap val="100"/>
        <c:axId val="739663295"/>
        <c:axId val="739667135"/>
      </c:barChart>
      <c:catAx>
        <c:axId val="7396632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cap="all" spc="120" normalizeH="0" baseline="0">
                <a:solidFill>
                  <a:schemeClr val="tx1">
                    <a:lumMod val="65000"/>
                    <a:lumOff val="35000"/>
                  </a:schemeClr>
                </a:solidFill>
                <a:latin typeface="+mn-lt"/>
                <a:ea typeface="+mn-ea"/>
                <a:cs typeface="+mn-cs"/>
              </a:defRPr>
            </a:pPr>
            <a:endParaRPr lang="es-EC"/>
          </a:p>
        </c:txPr>
        <c:crossAx val="739667135"/>
        <c:crosses val="autoZero"/>
        <c:auto val="1"/>
        <c:lblAlgn val="ctr"/>
        <c:lblOffset val="100"/>
        <c:noMultiLvlLbl val="0"/>
      </c:catAx>
      <c:valAx>
        <c:axId val="739667135"/>
        <c:scaling>
          <c:orientation val="minMax"/>
          <c:min val="0"/>
        </c:scaling>
        <c:delete val="1"/>
        <c:axPos val="b"/>
        <c:numFmt formatCode="_(* #,##0.000_);_(* \(#,##0.000\);_(* &quot;-&quot;??_);_(@_)" sourceLinked="1"/>
        <c:majorTickMark val="none"/>
        <c:minorTickMark val="none"/>
        <c:tickLblPos val="nextTo"/>
        <c:crossAx val="73966329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Curvas eff motores w22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scatterChart>
        <c:scatterStyle val="smoothMarker"/>
        <c:varyColors val="0"/>
        <c:ser>
          <c:idx val="0"/>
          <c:order val="0"/>
          <c:tx>
            <c:strRef>
              <c:f>'Datos Eff Energ'!$S$4</c:f>
              <c:strCache>
                <c:ptCount val="1"/>
                <c:pt idx="0">
                  <c:v>IE1</c:v>
                </c:pt>
              </c:strCache>
            </c:strRef>
          </c:tx>
          <c:spPr>
            <a:ln w="19050" cap="rnd">
              <a:solidFill>
                <a:schemeClr val="accent1"/>
              </a:solidFill>
              <a:round/>
            </a:ln>
            <a:effectLst/>
          </c:spPr>
          <c:marker>
            <c:symbol val="none"/>
          </c:marker>
          <c:xVal>
            <c:numRef>
              <c:f>'Datos Eff Energ'!$R$5:$R$36</c:f>
              <c:numCache>
                <c:formatCode>_(* #,##0.00_);_(* \(#,##0.00\);_(* "-"??_);_(@_)</c:formatCode>
                <c:ptCount val="32"/>
                <c:pt idx="0">
                  <c:v>0.16</c:v>
                </c:pt>
                <c:pt idx="1">
                  <c:v>0.25</c:v>
                </c:pt>
                <c:pt idx="2">
                  <c:v>0.33</c:v>
                </c:pt>
                <c:pt idx="3">
                  <c:v>0.5</c:v>
                </c:pt>
                <c:pt idx="4">
                  <c:v>0.75</c:v>
                </c:pt>
                <c:pt idx="7" formatCode="_(* #,##0_);_(* \(#,##0\);_(* &quot;-&quot;??_);_(@_)">
                  <c:v>1</c:v>
                </c:pt>
                <c:pt idx="8" formatCode="_(* #,##0_);_(* \(#,##0\);_(* &quot;-&quot;??_);_(@_)">
                  <c:v>1.5</c:v>
                </c:pt>
                <c:pt idx="9" formatCode="_(* #,##0_);_(* \(#,##0\);_(* &quot;-&quot;??_);_(@_)">
                  <c:v>2</c:v>
                </c:pt>
                <c:pt idx="10" formatCode="_(* #,##0_);_(* \(#,##0\);_(* &quot;-&quot;??_);_(@_)">
                  <c:v>3</c:v>
                </c:pt>
                <c:pt idx="11" formatCode="_(* #,##0_);_(* \(#,##0\);_(* &quot;-&quot;??_);_(@_)">
                  <c:v>4</c:v>
                </c:pt>
                <c:pt idx="12" formatCode="_(* #,##0_);_(* \(#,##0\);_(* &quot;-&quot;??_);_(@_)">
                  <c:v>5</c:v>
                </c:pt>
                <c:pt idx="13" formatCode="_(* #,##0_);_(* \(#,##0\);_(* &quot;-&quot;??_);_(@_)">
                  <c:v>6</c:v>
                </c:pt>
                <c:pt idx="14" formatCode="_(* #,##0_);_(* \(#,##0\);_(* &quot;-&quot;??_);_(@_)">
                  <c:v>7.5</c:v>
                </c:pt>
                <c:pt idx="15" formatCode="_(* #,##0_);_(* \(#,##0\);_(* &quot;-&quot;??_);_(@_)">
                  <c:v>10</c:v>
                </c:pt>
                <c:pt idx="16" formatCode="_(* #,##0_);_(* \(#,##0\);_(* &quot;-&quot;??_);_(@_)">
                  <c:v>12.5</c:v>
                </c:pt>
                <c:pt idx="17" formatCode="_(* #,##0_);_(* \(#,##0\);_(* &quot;-&quot;??_);_(@_)">
                  <c:v>15</c:v>
                </c:pt>
                <c:pt idx="18" formatCode="_(* #,##0_);_(* \(#,##0\);_(* &quot;-&quot;??_);_(@_)">
                  <c:v>20</c:v>
                </c:pt>
                <c:pt idx="19" formatCode="_(* #,##0_);_(* \(#,##0\);_(* &quot;-&quot;??_);_(@_)">
                  <c:v>25</c:v>
                </c:pt>
                <c:pt idx="20" formatCode="_(* #,##0_);_(* \(#,##0\);_(* &quot;-&quot;??_);_(@_)">
                  <c:v>30</c:v>
                </c:pt>
                <c:pt idx="21" formatCode="_(* #,##0_);_(* \(#,##0\);_(* &quot;-&quot;??_);_(@_)">
                  <c:v>40</c:v>
                </c:pt>
                <c:pt idx="22" formatCode="_(* #,##0_);_(* \(#,##0\);_(* &quot;-&quot;??_);_(@_)">
                  <c:v>50</c:v>
                </c:pt>
                <c:pt idx="23" formatCode="_(* #,##0_);_(* \(#,##0\);_(* &quot;-&quot;??_);_(@_)">
                  <c:v>60</c:v>
                </c:pt>
                <c:pt idx="24" formatCode="_(* #,##0_);_(* \(#,##0\);_(* &quot;-&quot;??_);_(@_)">
                  <c:v>75</c:v>
                </c:pt>
                <c:pt idx="25" formatCode="_(* #,##0_);_(* \(#,##0\);_(* &quot;-&quot;??_);_(@_)">
                  <c:v>100</c:v>
                </c:pt>
                <c:pt idx="26" formatCode="_(* #,##0_);_(* \(#,##0\);_(* &quot;-&quot;??_);_(@_)">
                  <c:v>125</c:v>
                </c:pt>
                <c:pt idx="27" formatCode="_(* #,##0_);_(* \(#,##0\);_(* &quot;-&quot;??_);_(@_)">
                  <c:v>150</c:v>
                </c:pt>
                <c:pt idx="28" formatCode="_(* #,##0_);_(* \(#,##0\);_(* &quot;-&quot;??_);_(@_)">
                  <c:v>180</c:v>
                </c:pt>
                <c:pt idx="29" formatCode="_(* #,##0_);_(* \(#,##0\);_(* &quot;-&quot;??_);_(@_)">
                  <c:v>200</c:v>
                </c:pt>
                <c:pt idx="30" formatCode="_(* #,##0_);_(* \(#,##0\);_(* &quot;-&quot;??_);_(@_)">
                  <c:v>250</c:v>
                </c:pt>
                <c:pt idx="31" formatCode="_(* #,##0_);_(* \(#,##0\);_(* &quot;-&quot;??_);_(@_)">
                  <c:v>270</c:v>
                </c:pt>
              </c:numCache>
            </c:numRef>
          </c:xVal>
          <c:yVal>
            <c:numRef>
              <c:f>'Datos Eff Energ'!$S$5:$S$36</c:f>
              <c:numCache>
                <c:formatCode>_(* #,##0.0_);_(* \(#,##0.0\);_(* "-"??_);_(@_)</c:formatCode>
                <c:ptCount val="32"/>
                <c:pt idx="0">
                  <c:v>53.933333333333337</c:v>
                </c:pt>
                <c:pt idx="1">
                  <c:v>59.333333333333336</c:v>
                </c:pt>
                <c:pt idx="2">
                  <c:v>62.666666666666664</c:v>
                </c:pt>
                <c:pt idx="3">
                  <c:v>64.333333333333329</c:v>
                </c:pt>
                <c:pt idx="4">
                  <c:v>69.333333333333329</c:v>
                </c:pt>
                <c:pt idx="7">
                  <c:v>76.100000000000009</c:v>
                </c:pt>
                <c:pt idx="8">
                  <c:v>77.63333333333334</c:v>
                </c:pt>
                <c:pt idx="9">
                  <c:v>80.399999999999991</c:v>
                </c:pt>
                <c:pt idx="10">
                  <c:v>81.3</c:v>
                </c:pt>
                <c:pt idx="11">
                  <c:v>83.2</c:v>
                </c:pt>
                <c:pt idx="12">
                  <c:v>84.600000000000009</c:v>
                </c:pt>
                <c:pt idx="13">
                  <c:v>85.666666666666671</c:v>
                </c:pt>
                <c:pt idx="14">
                  <c:v>86.3</c:v>
                </c:pt>
                <c:pt idx="15">
                  <c:v>87.100000000000009</c:v>
                </c:pt>
                <c:pt idx="16">
                  <c:v>87.899999999999991</c:v>
                </c:pt>
                <c:pt idx="17">
                  <c:v>88.833333333333329</c:v>
                </c:pt>
                <c:pt idx="18">
                  <c:v>89.633333333333326</c:v>
                </c:pt>
                <c:pt idx="19">
                  <c:v>90.5</c:v>
                </c:pt>
                <c:pt idx="20">
                  <c:v>90.933333333333323</c:v>
                </c:pt>
                <c:pt idx="21">
                  <c:v>91.533333333333346</c:v>
                </c:pt>
                <c:pt idx="22">
                  <c:v>92.266666666666666</c:v>
                </c:pt>
                <c:pt idx="23">
                  <c:v>92.733333333333334</c:v>
                </c:pt>
                <c:pt idx="24">
                  <c:v>93.166666666666671</c:v>
                </c:pt>
                <c:pt idx="25">
                  <c:v>93.533333333333346</c:v>
                </c:pt>
                <c:pt idx="26">
                  <c:v>93.866666666666674</c:v>
                </c:pt>
                <c:pt idx="27">
                  <c:v>94.233333333333334</c:v>
                </c:pt>
                <c:pt idx="28">
                  <c:v>94.40000000000002</c:v>
                </c:pt>
                <c:pt idx="29">
                  <c:v>94.533333333333346</c:v>
                </c:pt>
                <c:pt idx="30">
                  <c:v>94.666666666666671</c:v>
                </c:pt>
                <c:pt idx="31">
                  <c:v>94.833333333333329</c:v>
                </c:pt>
              </c:numCache>
            </c:numRef>
          </c:yVal>
          <c:smooth val="1"/>
          <c:extLst>
            <c:ext xmlns:c16="http://schemas.microsoft.com/office/drawing/2014/chart" uri="{C3380CC4-5D6E-409C-BE32-E72D297353CC}">
              <c16:uniqueId val="{00000000-1B5F-429E-B7CD-D45BEDF144EF}"/>
            </c:ext>
          </c:extLst>
        </c:ser>
        <c:ser>
          <c:idx val="1"/>
          <c:order val="1"/>
          <c:tx>
            <c:strRef>
              <c:f>'Datos Eff Energ'!$T$4</c:f>
              <c:strCache>
                <c:ptCount val="1"/>
                <c:pt idx="0">
                  <c:v>IE2</c:v>
                </c:pt>
              </c:strCache>
            </c:strRef>
          </c:tx>
          <c:spPr>
            <a:ln w="19050" cap="rnd">
              <a:solidFill>
                <a:schemeClr val="accent2"/>
              </a:solidFill>
              <a:round/>
            </a:ln>
            <a:effectLst/>
          </c:spPr>
          <c:marker>
            <c:symbol val="none"/>
          </c:marker>
          <c:xVal>
            <c:numRef>
              <c:f>'Datos Eff Energ'!$R$5:$R$36</c:f>
              <c:numCache>
                <c:formatCode>_(* #,##0.00_);_(* \(#,##0.00\);_(* "-"??_);_(@_)</c:formatCode>
                <c:ptCount val="32"/>
                <c:pt idx="0">
                  <c:v>0.16</c:v>
                </c:pt>
                <c:pt idx="1">
                  <c:v>0.25</c:v>
                </c:pt>
                <c:pt idx="2">
                  <c:v>0.33</c:v>
                </c:pt>
                <c:pt idx="3">
                  <c:v>0.5</c:v>
                </c:pt>
                <c:pt idx="4">
                  <c:v>0.75</c:v>
                </c:pt>
                <c:pt idx="7" formatCode="_(* #,##0_);_(* \(#,##0\);_(* &quot;-&quot;??_);_(@_)">
                  <c:v>1</c:v>
                </c:pt>
                <c:pt idx="8" formatCode="_(* #,##0_);_(* \(#,##0\);_(* &quot;-&quot;??_);_(@_)">
                  <c:v>1.5</c:v>
                </c:pt>
                <c:pt idx="9" formatCode="_(* #,##0_);_(* \(#,##0\);_(* &quot;-&quot;??_);_(@_)">
                  <c:v>2</c:v>
                </c:pt>
                <c:pt idx="10" formatCode="_(* #,##0_);_(* \(#,##0\);_(* &quot;-&quot;??_);_(@_)">
                  <c:v>3</c:v>
                </c:pt>
                <c:pt idx="11" formatCode="_(* #,##0_);_(* \(#,##0\);_(* &quot;-&quot;??_);_(@_)">
                  <c:v>4</c:v>
                </c:pt>
                <c:pt idx="12" formatCode="_(* #,##0_);_(* \(#,##0\);_(* &quot;-&quot;??_);_(@_)">
                  <c:v>5</c:v>
                </c:pt>
                <c:pt idx="13" formatCode="_(* #,##0_);_(* \(#,##0\);_(* &quot;-&quot;??_);_(@_)">
                  <c:v>6</c:v>
                </c:pt>
                <c:pt idx="14" formatCode="_(* #,##0_);_(* \(#,##0\);_(* &quot;-&quot;??_);_(@_)">
                  <c:v>7.5</c:v>
                </c:pt>
                <c:pt idx="15" formatCode="_(* #,##0_);_(* \(#,##0\);_(* &quot;-&quot;??_);_(@_)">
                  <c:v>10</c:v>
                </c:pt>
                <c:pt idx="16" formatCode="_(* #,##0_);_(* \(#,##0\);_(* &quot;-&quot;??_);_(@_)">
                  <c:v>12.5</c:v>
                </c:pt>
                <c:pt idx="17" formatCode="_(* #,##0_);_(* \(#,##0\);_(* &quot;-&quot;??_);_(@_)">
                  <c:v>15</c:v>
                </c:pt>
                <c:pt idx="18" formatCode="_(* #,##0_);_(* \(#,##0\);_(* &quot;-&quot;??_);_(@_)">
                  <c:v>20</c:v>
                </c:pt>
                <c:pt idx="19" formatCode="_(* #,##0_);_(* \(#,##0\);_(* &quot;-&quot;??_);_(@_)">
                  <c:v>25</c:v>
                </c:pt>
                <c:pt idx="20" formatCode="_(* #,##0_);_(* \(#,##0\);_(* &quot;-&quot;??_);_(@_)">
                  <c:v>30</c:v>
                </c:pt>
                <c:pt idx="21" formatCode="_(* #,##0_);_(* \(#,##0\);_(* &quot;-&quot;??_);_(@_)">
                  <c:v>40</c:v>
                </c:pt>
                <c:pt idx="22" formatCode="_(* #,##0_);_(* \(#,##0\);_(* &quot;-&quot;??_);_(@_)">
                  <c:v>50</c:v>
                </c:pt>
                <c:pt idx="23" formatCode="_(* #,##0_);_(* \(#,##0\);_(* &quot;-&quot;??_);_(@_)">
                  <c:v>60</c:v>
                </c:pt>
                <c:pt idx="24" formatCode="_(* #,##0_);_(* \(#,##0\);_(* &quot;-&quot;??_);_(@_)">
                  <c:v>75</c:v>
                </c:pt>
                <c:pt idx="25" formatCode="_(* #,##0_);_(* \(#,##0\);_(* &quot;-&quot;??_);_(@_)">
                  <c:v>100</c:v>
                </c:pt>
                <c:pt idx="26" formatCode="_(* #,##0_);_(* \(#,##0\);_(* &quot;-&quot;??_);_(@_)">
                  <c:v>125</c:v>
                </c:pt>
                <c:pt idx="27" formatCode="_(* #,##0_);_(* \(#,##0\);_(* &quot;-&quot;??_);_(@_)">
                  <c:v>150</c:v>
                </c:pt>
                <c:pt idx="28" formatCode="_(* #,##0_);_(* \(#,##0\);_(* &quot;-&quot;??_);_(@_)">
                  <c:v>180</c:v>
                </c:pt>
                <c:pt idx="29" formatCode="_(* #,##0_);_(* \(#,##0\);_(* &quot;-&quot;??_);_(@_)">
                  <c:v>200</c:v>
                </c:pt>
                <c:pt idx="30" formatCode="_(* #,##0_);_(* \(#,##0\);_(* &quot;-&quot;??_);_(@_)">
                  <c:v>250</c:v>
                </c:pt>
                <c:pt idx="31" formatCode="_(* #,##0_);_(* \(#,##0\);_(* &quot;-&quot;??_);_(@_)">
                  <c:v>270</c:v>
                </c:pt>
              </c:numCache>
            </c:numRef>
          </c:xVal>
          <c:yVal>
            <c:numRef>
              <c:f>'Datos Eff Energ'!$T$5:$T$36</c:f>
              <c:numCache>
                <c:formatCode>_(* #,##0.0_);_(* \(#,##0.0\);_(* "-"??_);_(@_)</c:formatCode>
                <c:ptCount val="32"/>
                <c:pt idx="0">
                  <c:v>58.166666666666664</c:v>
                </c:pt>
                <c:pt idx="1">
                  <c:v>63.333333333333336</c:v>
                </c:pt>
                <c:pt idx="2">
                  <c:v>66.333333333333329</c:v>
                </c:pt>
                <c:pt idx="3">
                  <c:v>68.666666666666671</c:v>
                </c:pt>
                <c:pt idx="4">
                  <c:v>72.666666666666671</c:v>
                </c:pt>
                <c:pt idx="7">
                  <c:v>81.2</c:v>
                </c:pt>
                <c:pt idx="8">
                  <c:v>84.033333333333331</c:v>
                </c:pt>
                <c:pt idx="9">
                  <c:v>84.899999999999991</c:v>
                </c:pt>
                <c:pt idx="10">
                  <c:v>86.5</c:v>
                </c:pt>
                <c:pt idx="11">
                  <c:v>87.5</c:v>
                </c:pt>
                <c:pt idx="12">
                  <c:v>87.766666666666666</c:v>
                </c:pt>
                <c:pt idx="13">
                  <c:v>88.333333333333329</c:v>
                </c:pt>
                <c:pt idx="14">
                  <c:v>89.399999999999991</c:v>
                </c:pt>
                <c:pt idx="15">
                  <c:v>90.3</c:v>
                </c:pt>
                <c:pt idx="16">
                  <c:v>90.233333333333334</c:v>
                </c:pt>
                <c:pt idx="17">
                  <c:v>91.066666666666663</c:v>
                </c:pt>
                <c:pt idx="18">
                  <c:v>91.5</c:v>
                </c:pt>
                <c:pt idx="19">
                  <c:v>92.233333333333348</c:v>
                </c:pt>
                <c:pt idx="20">
                  <c:v>92.666666666666671</c:v>
                </c:pt>
                <c:pt idx="21">
                  <c:v>93.066666666666677</c:v>
                </c:pt>
                <c:pt idx="22">
                  <c:v>93.399999999999991</c:v>
                </c:pt>
                <c:pt idx="23">
                  <c:v>93.8</c:v>
                </c:pt>
                <c:pt idx="24">
                  <c:v>94.09999999999998</c:v>
                </c:pt>
                <c:pt idx="25">
                  <c:v>94.433333333333323</c:v>
                </c:pt>
                <c:pt idx="26">
                  <c:v>94.733333333333334</c:v>
                </c:pt>
                <c:pt idx="27">
                  <c:v>95.033333333333346</c:v>
                </c:pt>
                <c:pt idx="28">
                  <c:v>95.2</c:v>
                </c:pt>
                <c:pt idx="29">
                  <c:v>95.366666666666674</c:v>
                </c:pt>
                <c:pt idx="30">
                  <c:v>95.600000000000009</c:v>
                </c:pt>
                <c:pt idx="31">
                  <c:v>95.7</c:v>
                </c:pt>
              </c:numCache>
            </c:numRef>
          </c:yVal>
          <c:smooth val="1"/>
          <c:extLst>
            <c:ext xmlns:c16="http://schemas.microsoft.com/office/drawing/2014/chart" uri="{C3380CC4-5D6E-409C-BE32-E72D297353CC}">
              <c16:uniqueId val="{00000001-1B5F-429E-B7CD-D45BEDF144EF}"/>
            </c:ext>
          </c:extLst>
        </c:ser>
        <c:ser>
          <c:idx val="2"/>
          <c:order val="2"/>
          <c:tx>
            <c:strRef>
              <c:f>'Datos Eff Energ'!$U$4</c:f>
              <c:strCache>
                <c:ptCount val="1"/>
                <c:pt idx="0">
                  <c:v>IE3</c:v>
                </c:pt>
              </c:strCache>
            </c:strRef>
          </c:tx>
          <c:spPr>
            <a:ln w="19050" cap="rnd">
              <a:solidFill>
                <a:srgbClr val="00B050"/>
              </a:solidFill>
              <a:round/>
            </a:ln>
            <a:effectLst/>
          </c:spPr>
          <c:marker>
            <c:symbol val="none"/>
          </c:marker>
          <c:xVal>
            <c:numRef>
              <c:f>'Datos Eff Energ'!$R$5:$R$36</c:f>
              <c:numCache>
                <c:formatCode>_(* #,##0.00_);_(* \(#,##0.00\);_(* "-"??_);_(@_)</c:formatCode>
                <c:ptCount val="32"/>
                <c:pt idx="0">
                  <c:v>0.16</c:v>
                </c:pt>
                <c:pt idx="1">
                  <c:v>0.25</c:v>
                </c:pt>
                <c:pt idx="2">
                  <c:v>0.33</c:v>
                </c:pt>
                <c:pt idx="3">
                  <c:v>0.5</c:v>
                </c:pt>
                <c:pt idx="4">
                  <c:v>0.75</c:v>
                </c:pt>
                <c:pt idx="7" formatCode="_(* #,##0_);_(* \(#,##0\);_(* &quot;-&quot;??_);_(@_)">
                  <c:v>1</c:v>
                </c:pt>
                <c:pt idx="8" formatCode="_(* #,##0_);_(* \(#,##0\);_(* &quot;-&quot;??_);_(@_)">
                  <c:v>1.5</c:v>
                </c:pt>
                <c:pt idx="9" formatCode="_(* #,##0_);_(* \(#,##0\);_(* &quot;-&quot;??_);_(@_)">
                  <c:v>2</c:v>
                </c:pt>
                <c:pt idx="10" formatCode="_(* #,##0_);_(* \(#,##0\);_(* &quot;-&quot;??_);_(@_)">
                  <c:v>3</c:v>
                </c:pt>
                <c:pt idx="11" formatCode="_(* #,##0_);_(* \(#,##0\);_(* &quot;-&quot;??_);_(@_)">
                  <c:v>4</c:v>
                </c:pt>
                <c:pt idx="12" formatCode="_(* #,##0_);_(* \(#,##0\);_(* &quot;-&quot;??_);_(@_)">
                  <c:v>5</c:v>
                </c:pt>
                <c:pt idx="13" formatCode="_(* #,##0_);_(* \(#,##0\);_(* &quot;-&quot;??_);_(@_)">
                  <c:v>6</c:v>
                </c:pt>
                <c:pt idx="14" formatCode="_(* #,##0_);_(* \(#,##0\);_(* &quot;-&quot;??_);_(@_)">
                  <c:v>7.5</c:v>
                </c:pt>
                <c:pt idx="15" formatCode="_(* #,##0_);_(* \(#,##0\);_(* &quot;-&quot;??_);_(@_)">
                  <c:v>10</c:v>
                </c:pt>
                <c:pt idx="16" formatCode="_(* #,##0_);_(* \(#,##0\);_(* &quot;-&quot;??_);_(@_)">
                  <c:v>12.5</c:v>
                </c:pt>
                <c:pt idx="17" formatCode="_(* #,##0_);_(* \(#,##0\);_(* &quot;-&quot;??_);_(@_)">
                  <c:v>15</c:v>
                </c:pt>
                <c:pt idx="18" formatCode="_(* #,##0_);_(* \(#,##0\);_(* &quot;-&quot;??_);_(@_)">
                  <c:v>20</c:v>
                </c:pt>
                <c:pt idx="19" formatCode="_(* #,##0_);_(* \(#,##0\);_(* &quot;-&quot;??_);_(@_)">
                  <c:v>25</c:v>
                </c:pt>
                <c:pt idx="20" formatCode="_(* #,##0_);_(* \(#,##0\);_(* &quot;-&quot;??_);_(@_)">
                  <c:v>30</c:v>
                </c:pt>
                <c:pt idx="21" formatCode="_(* #,##0_);_(* \(#,##0\);_(* &quot;-&quot;??_);_(@_)">
                  <c:v>40</c:v>
                </c:pt>
                <c:pt idx="22" formatCode="_(* #,##0_);_(* \(#,##0\);_(* &quot;-&quot;??_);_(@_)">
                  <c:v>50</c:v>
                </c:pt>
                <c:pt idx="23" formatCode="_(* #,##0_);_(* \(#,##0\);_(* &quot;-&quot;??_);_(@_)">
                  <c:v>60</c:v>
                </c:pt>
                <c:pt idx="24" formatCode="_(* #,##0_);_(* \(#,##0\);_(* &quot;-&quot;??_);_(@_)">
                  <c:v>75</c:v>
                </c:pt>
                <c:pt idx="25" formatCode="_(* #,##0_);_(* \(#,##0\);_(* &quot;-&quot;??_);_(@_)">
                  <c:v>100</c:v>
                </c:pt>
                <c:pt idx="26" formatCode="_(* #,##0_);_(* \(#,##0\);_(* &quot;-&quot;??_);_(@_)">
                  <c:v>125</c:v>
                </c:pt>
                <c:pt idx="27" formatCode="_(* #,##0_);_(* \(#,##0\);_(* &quot;-&quot;??_);_(@_)">
                  <c:v>150</c:v>
                </c:pt>
                <c:pt idx="28" formatCode="_(* #,##0_);_(* \(#,##0\);_(* &quot;-&quot;??_);_(@_)">
                  <c:v>180</c:v>
                </c:pt>
                <c:pt idx="29" formatCode="_(* #,##0_);_(* \(#,##0\);_(* &quot;-&quot;??_);_(@_)">
                  <c:v>200</c:v>
                </c:pt>
                <c:pt idx="30" formatCode="_(* #,##0_);_(* \(#,##0\);_(* &quot;-&quot;??_);_(@_)">
                  <c:v>250</c:v>
                </c:pt>
                <c:pt idx="31" formatCode="_(* #,##0_);_(* \(#,##0\);_(* &quot;-&quot;??_);_(@_)">
                  <c:v>270</c:v>
                </c:pt>
              </c:numCache>
            </c:numRef>
          </c:xVal>
          <c:yVal>
            <c:numRef>
              <c:f>'Datos Eff Energ'!$U$5:$U$36</c:f>
              <c:numCache>
                <c:formatCode>_(* #,##0.0_);_(* \(#,##0.0\);_(* "-"??_);_(@_)</c:formatCode>
                <c:ptCount val="32"/>
                <c:pt idx="0">
                  <c:v>61.166666666666664</c:v>
                </c:pt>
                <c:pt idx="1">
                  <c:v>66.5</c:v>
                </c:pt>
                <c:pt idx="2">
                  <c:v>69.333333333333329</c:v>
                </c:pt>
                <c:pt idx="3">
                  <c:v>71.666666666666671</c:v>
                </c:pt>
                <c:pt idx="4">
                  <c:v>75.333333333333329</c:v>
                </c:pt>
                <c:pt idx="7">
                  <c:v>83.5</c:v>
                </c:pt>
                <c:pt idx="8">
                  <c:v>86.2</c:v>
                </c:pt>
                <c:pt idx="9">
                  <c:v>86.899999999999991</c:v>
                </c:pt>
                <c:pt idx="10">
                  <c:v>88.5</c:v>
                </c:pt>
                <c:pt idx="11">
                  <c:v>89.166666666666671</c:v>
                </c:pt>
                <c:pt idx="12">
                  <c:v>89.2</c:v>
                </c:pt>
                <c:pt idx="13">
                  <c:v>89.5</c:v>
                </c:pt>
                <c:pt idx="14">
                  <c:v>90.7</c:v>
                </c:pt>
                <c:pt idx="15">
                  <c:v>91.3</c:v>
                </c:pt>
                <c:pt idx="16">
                  <c:v>91.533333333333346</c:v>
                </c:pt>
                <c:pt idx="17">
                  <c:v>91.65</c:v>
                </c:pt>
                <c:pt idx="18">
                  <c:v>92.600000000000009</c:v>
                </c:pt>
                <c:pt idx="19">
                  <c:v>93.233333333333334</c:v>
                </c:pt>
                <c:pt idx="20">
                  <c:v>93.59999999999998</c:v>
                </c:pt>
                <c:pt idx="21">
                  <c:v>93.966666666666654</c:v>
                </c:pt>
                <c:pt idx="22">
                  <c:v>94.266666666666666</c:v>
                </c:pt>
                <c:pt idx="23">
                  <c:v>94.633333333333326</c:v>
                </c:pt>
                <c:pt idx="24">
                  <c:v>94.899999999999991</c:v>
                </c:pt>
                <c:pt idx="25">
                  <c:v>95.166666666666671</c:v>
                </c:pt>
                <c:pt idx="26">
                  <c:v>95.399999999999991</c:v>
                </c:pt>
                <c:pt idx="27">
                  <c:v>95.7</c:v>
                </c:pt>
                <c:pt idx="28">
                  <c:v>95.866666666666674</c:v>
                </c:pt>
                <c:pt idx="29">
                  <c:v>95.966666666666654</c:v>
                </c:pt>
                <c:pt idx="30">
                  <c:v>96.133333333333326</c:v>
                </c:pt>
                <c:pt idx="31">
                  <c:v>96.166666666666671</c:v>
                </c:pt>
              </c:numCache>
            </c:numRef>
          </c:yVal>
          <c:smooth val="1"/>
          <c:extLst>
            <c:ext xmlns:c16="http://schemas.microsoft.com/office/drawing/2014/chart" uri="{C3380CC4-5D6E-409C-BE32-E72D297353CC}">
              <c16:uniqueId val="{00000002-1B5F-429E-B7CD-D45BEDF144EF}"/>
            </c:ext>
          </c:extLst>
        </c:ser>
        <c:dLbls>
          <c:showLegendKey val="0"/>
          <c:showVal val="0"/>
          <c:showCatName val="0"/>
          <c:showSerName val="0"/>
          <c:showPercent val="0"/>
          <c:showBubbleSize val="0"/>
        </c:dLbls>
        <c:axId val="1929563520"/>
        <c:axId val="1929560160"/>
      </c:scatterChart>
      <c:valAx>
        <c:axId val="1929563520"/>
        <c:scaling>
          <c:logBase val="10"/>
          <c:orientation val="minMax"/>
        </c:scaling>
        <c:delete val="0"/>
        <c:axPos val="b"/>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929560160"/>
        <c:crosses val="autoZero"/>
        <c:crossBetween val="midCat"/>
      </c:valAx>
      <c:valAx>
        <c:axId val="192956016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929563520"/>
        <c:crossesAt val="0.1"/>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r>
              <a:rPr lang="es-EC" sz="1100" b="1" i="0" u="none" strike="noStrike" kern="1200" cap="all" spc="120" normalizeH="0" baseline="0">
                <a:solidFill>
                  <a:srgbClr val="000000">
                    <a:lumMod val="65000"/>
                    <a:lumOff val="35000"/>
                  </a:srgbClr>
                </a:solidFill>
              </a:rPr>
              <a:t>EMISIONES DE GEI (tCO2)</a:t>
            </a:r>
          </a:p>
        </c:rich>
      </c:tx>
      <c:overlay val="0"/>
      <c:spPr>
        <a:noFill/>
        <a:ln>
          <a:noFill/>
        </a:ln>
        <a:effectLst/>
      </c:spPr>
      <c:txPr>
        <a:bodyPr rot="0" spcFirstLastPara="1" vertOverflow="ellipsis" vert="horz" wrap="square" anchor="ctr" anchorCtr="1"/>
        <a:lstStyle/>
        <a:p>
          <a:pPr>
            <a:defRPr sz="108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barChart>
        <c:barDir val="bar"/>
        <c:grouping val="stacked"/>
        <c:varyColors val="0"/>
        <c:ser>
          <c:idx val="0"/>
          <c:order val="0"/>
          <c:tx>
            <c:strRef>
              <c:f>Datos_energia!$G$12</c:f>
              <c:strCache>
                <c:ptCount val="1"/>
              </c:strCache>
            </c:strRef>
          </c:tx>
          <c:spPr>
            <a:solidFill>
              <a:schemeClr val="accent4"/>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C"/>
                </a:p>
              </c:txPr>
              <c:dLblPos val="inBase"/>
              <c:showLegendKey val="0"/>
              <c:showVal val="1"/>
              <c:showCatName val="0"/>
              <c:showSerName val="0"/>
              <c:showPercent val="0"/>
              <c:showBubbleSize val="0"/>
              <c:extLst>
                <c:ext xmlns:c16="http://schemas.microsoft.com/office/drawing/2014/chart" uri="{C3380CC4-5D6E-409C-BE32-E72D297353CC}">
                  <c16:uniqueId val="{00000002-A05D-4317-B345-0084FA1DC72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C"/>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Datos_energia!$F$13:$F$14</c:f>
              <c:strCache>
                <c:ptCount val="2"/>
                <c:pt idx="0">
                  <c:v>Consumo red eléctrica</c:v>
                </c:pt>
                <c:pt idx="1">
                  <c:v>Autogeneración Paneles fotovoltaicos</c:v>
                </c:pt>
              </c:strCache>
            </c:strRef>
          </c:cat>
          <c:val>
            <c:numRef>
              <c:f>Datos_energia!$G$13:$G$14</c:f>
              <c:numCache>
                <c:formatCode>_(* #,##0.00_);_(* \(#,##0.00\);_(* "-"??_);_(@_)</c:formatCode>
                <c:ptCount val="2"/>
                <c:pt idx="0">
                  <c:v>0.88590000000000002</c:v>
                </c:pt>
                <c:pt idx="1">
                  <c:v>0</c:v>
                </c:pt>
              </c:numCache>
            </c:numRef>
          </c:val>
          <c:extLst>
            <c:ext xmlns:c16="http://schemas.microsoft.com/office/drawing/2014/chart" uri="{C3380CC4-5D6E-409C-BE32-E72D297353CC}">
              <c16:uniqueId val="{00000000-A05D-4317-B345-0084FA1DC728}"/>
            </c:ext>
          </c:extLst>
        </c:ser>
        <c:dLbls>
          <c:dLblPos val="inBase"/>
          <c:showLegendKey val="0"/>
          <c:showVal val="1"/>
          <c:showCatName val="0"/>
          <c:showSerName val="0"/>
          <c:showPercent val="0"/>
          <c:showBubbleSize val="0"/>
        </c:dLbls>
        <c:gapWidth val="79"/>
        <c:overlap val="100"/>
        <c:axId val="229525264"/>
        <c:axId val="229529584"/>
      </c:barChart>
      <c:valAx>
        <c:axId val="229529584"/>
        <c:scaling>
          <c:orientation val="minMax"/>
          <c:max val="1"/>
          <c:min val="0"/>
        </c:scaling>
        <c:delete val="1"/>
        <c:axPos val="t"/>
        <c:numFmt formatCode="_(* #,##0.00_);_(* \(#,##0.00\);_(* &quot;-&quot;??_);_(@_)" sourceLinked="1"/>
        <c:majorTickMark val="none"/>
        <c:minorTickMark val="none"/>
        <c:tickLblPos val="nextTo"/>
        <c:crossAx val="229525264"/>
        <c:crosses val="autoZero"/>
        <c:crossBetween val="between"/>
      </c:valAx>
      <c:catAx>
        <c:axId val="229525264"/>
        <c:scaling>
          <c:orientation val="maxMin"/>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cap="all" spc="120" normalizeH="0" baseline="0">
                <a:solidFill>
                  <a:schemeClr val="tx1">
                    <a:lumMod val="65000"/>
                    <a:lumOff val="35000"/>
                  </a:schemeClr>
                </a:solidFill>
                <a:latin typeface="+mn-lt"/>
                <a:ea typeface="+mn-ea"/>
                <a:cs typeface="+mn-cs"/>
              </a:defRPr>
            </a:pPr>
            <a:endParaRPr lang="es-EC"/>
          </a:p>
        </c:txPr>
        <c:crossAx val="22952958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sz="900"/>
      </a:pPr>
      <a:endParaRPr lang="es-EC"/>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colors10.xml><?xml version="1.0" encoding="utf-8"?>
<cs:colorStyle xmlns:cs="http://schemas.microsoft.com/office/drawing/2012/chartStyle" xmlns:a="http://schemas.openxmlformats.org/drawingml/2006/main" meth="withinLinearReversed" id="24">
  <a:schemeClr val="accent4"/>
</cs:colorStyle>
</file>

<file path=xl/charts/colors11.xml><?xml version="1.0" encoding="utf-8"?>
<cs:colorStyle xmlns:cs="http://schemas.microsoft.com/office/drawing/2012/chartStyle" xmlns:a="http://schemas.openxmlformats.org/drawingml/2006/main" meth="withinLinearReversed" id="24">
  <a:schemeClr val="accent4"/>
</cs:colorStyle>
</file>

<file path=xl/charts/colors12.xml><?xml version="1.0" encoding="utf-8"?>
<cs:colorStyle xmlns:cs="http://schemas.microsoft.com/office/drawing/2012/chartStyle" xmlns:a="http://schemas.openxmlformats.org/drawingml/2006/main" meth="withinLinear" id="17">
  <a:schemeClr val="accent4"/>
</cs:colorStyle>
</file>

<file path=xl/charts/colors13.xml><?xml version="1.0" encoding="utf-8"?>
<cs:colorStyle xmlns:cs="http://schemas.microsoft.com/office/drawing/2012/chartStyle" xmlns:a="http://schemas.openxmlformats.org/drawingml/2006/main" meth="withinLinear" id="17">
  <a:schemeClr val="accent4"/>
</cs:colorStyle>
</file>

<file path=xl/charts/colors14.xml><?xml version="1.0" encoding="utf-8"?>
<cs:colorStyle xmlns:cs="http://schemas.microsoft.com/office/drawing/2012/chartStyle" xmlns:a="http://schemas.openxmlformats.org/drawingml/2006/main" meth="withinLinear" id="17">
  <a:schemeClr val="accent4"/>
</cs:colorStyle>
</file>

<file path=xl/charts/colors15.xml><?xml version="1.0" encoding="utf-8"?>
<cs:colorStyle xmlns:cs="http://schemas.microsoft.com/office/drawing/2012/chartStyle" xmlns:a="http://schemas.openxmlformats.org/drawingml/2006/main" meth="withinLinear" id="17">
  <a:schemeClr val="accent4"/>
</cs:colorStyle>
</file>

<file path=xl/charts/colors16.xml><?xml version="1.0" encoding="utf-8"?>
<cs:colorStyle xmlns:cs="http://schemas.microsoft.com/office/drawing/2012/chartStyle" xmlns:a="http://schemas.openxmlformats.org/drawingml/2006/main" meth="withinLinear" id="17">
  <a:schemeClr val="accent4"/>
</cs:colorStyle>
</file>

<file path=xl/charts/colors17.xml><?xml version="1.0" encoding="utf-8"?>
<cs:colorStyle xmlns:cs="http://schemas.microsoft.com/office/drawing/2012/chartStyle" xmlns:a="http://schemas.openxmlformats.org/drawingml/2006/main" meth="withinLinear" id="17">
  <a:schemeClr val="accent4"/>
</cs:colorStyle>
</file>

<file path=xl/charts/colors18.xml><?xml version="1.0" encoding="utf-8"?>
<cs:colorStyle xmlns:cs="http://schemas.microsoft.com/office/drawing/2012/chartStyle" xmlns:a="http://schemas.openxmlformats.org/drawingml/2006/main" meth="withinLinearReversed" id="24">
  <a:schemeClr val="accent4"/>
</cs:colorStyle>
</file>

<file path=xl/charts/colors19.xml><?xml version="1.0" encoding="utf-8"?>
<cs:colorStyle xmlns:cs="http://schemas.microsoft.com/office/drawing/2012/chartStyle" xmlns:a="http://schemas.openxmlformats.org/drawingml/2006/main" meth="withinLinearReversed" id="24">
  <a:schemeClr val="accent4"/>
</cs:colorStyle>
</file>

<file path=xl/charts/colors2.xml><?xml version="1.0" encoding="utf-8"?>
<cs:colorStyle xmlns:cs="http://schemas.microsoft.com/office/drawing/2012/chartStyle" xmlns:a="http://schemas.openxmlformats.org/drawingml/2006/main" meth="withinLinearReversed" id="25">
  <a:schemeClr val="accent5"/>
</cs:colorStyle>
</file>

<file path=xl/charts/colors2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withinLinearReversed" id="25">
  <a:schemeClr val="accent5"/>
</cs:colorStyle>
</file>

<file path=xl/charts/colors5.xml><?xml version="1.0" encoding="utf-8"?>
<cs:colorStyle xmlns:cs="http://schemas.microsoft.com/office/drawing/2012/chartStyle" xmlns:a="http://schemas.openxmlformats.org/drawingml/2006/main" meth="withinLinearReversed" id="25">
  <a:schemeClr val="accent5"/>
</cs:colorStyle>
</file>

<file path=xl/charts/colors6.xml><?xml version="1.0" encoding="utf-8"?>
<cs:colorStyle xmlns:cs="http://schemas.microsoft.com/office/drawing/2012/chartStyle" xmlns:a="http://schemas.openxmlformats.org/drawingml/2006/main" meth="withinLinearReversed" id="25">
  <a:schemeClr val="accent5"/>
</cs:colorStyle>
</file>

<file path=xl/charts/colors7.xml><?xml version="1.0" encoding="utf-8"?>
<cs:colorStyle xmlns:cs="http://schemas.microsoft.com/office/drawing/2012/chartStyle" xmlns:a="http://schemas.openxmlformats.org/drawingml/2006/main" meth="withinLinearReversed" id="25">
  <a:schemeClr val="accent5"/>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svg"/><Relationship Id="rId13" Type="http://schemas.openxmlformats.org/officeDocument/2006/relationships/image" Target="../media/image8.svg"/><Relationship Id="rId18" Type="http://schemas.openxmlformats.org/officeDocument/2006/relationships/image" Target="../media/image11.png"/><Relationship Id="rId3" Type="http://schemas.openxmlformats.org/officeDocument/2006/relationships/hyperlink" Target="#EDIFICIOS!A1"/><Relationship Id="rId21" Type="http://schemas.openxmlformats.org/officeDocument/2006/relationships/image" Target="../media/image13.png"/><Relationship Id="rId7" Type="http://schemas.openxmlformats.org/officeDocument/2006/relationships/image" Target="../media/image3.png"/><Relationship Id="rId12" Type="http://schemas.openxmlformats.org/officeDocument/2006/relationships/image" Target="../media/image7.png"/><Relationship Id="rId17" Type="http://schemas.openxmlformats.org/officeDocument/2006/relationships/hyperlink" Target="#RESIDUOS!A1"/><Relationship Id="rId2" Type="http://schemas.openxmlformats.org/officeDocument/2006/relationships/hyperlink" Target="https://ceerecuador-my.sharepoint.com/personal/edison_estevez_ceer_ec/Documents/caract%20indic.xlsx?web=1" TargetMode="External"/><Relationship Id="rId16" Type="http://schemas.openxmlformats.org/officeDocument/2006/relationships/image" Target="../media/image10.svg"/><Relationship Id="rId20" Type="http://schemas.openxmlformats.org/officeDocument/2006/relationships/hyperlink" Target="#TRANSPORTE!A1"/><Relationship Id="rId1" Type="http://schemas.openxmlformats.org/officeDocument/2006/relationships/hyperlink" Target="#ENERGIA!A1"/><Relationship Id="rId6" Type="http://schemas.openxmlformats.org/officeDocument/2006/relationships/hyperlink" Target="#EFICIENCIA!A1"/><Relationship Id="rId11" Type="http://schemas.openxmlformats.org/officeDocument/2006/relationships/hyperlink" Target="#AGUA!A1"/><Relationship Id="rId5" Type="http://schemas.openxmlformats.org/officeDocument/2006/relationships/image" Target="../media/image2.svg"/><Relationship Id="rId15" Type="http://schemas.openxmlformats.org/officeDocument/2006/relationships/image" Target="../media/image9.png"/><Relationship Id="rId10" Type="http://schemas.openxmlformats.org/officeDocument/2006/relationships/image" Target="../media/image6.svg"/><Relationship Id="rId19" Type="http://schemas.openxmlformats.org/officeDocument/2006/relationships/image" Target="../media/image12.svg"/><Relationship Id="rId4" Type="http://schemas.openxmlformats.org/officeDocument/2006/relationships/image" Target="../media/image1.png"/><Relationship Id="rId9" Type="http://schemas.openxmlformats.org/officeDocument/2006/relationships/image" Target="../media/image5.png"/><Relationship Id="rId14" Type="http://schemas.openxmlformats.org/officeDocument/2006/relationships/hyperlink" Target="#RECURSOS!A1"/><Relationship Id="rId22" Type="http://schemas.openxmlformats.org/officeDocument/2006/relationships/image" Target="../media/image14.svg"/></Relationships>
</file>

<file path=xl/drawings/_rels/drawing10.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hyperlink" Target="#&#205;NDICE!A1"/><Relationship Id="rId7" Type="http://schemas.openxmlformats.org/officeDocument/2006/relationships/chart" Target="../charts/chart21.xml"/><Relationship Id="rId2" Type="http://schemas.openxmlformats.org/officeDocument/2006/relationships/image" Target="../media/image48.svg"/><Relationship Id="rId1" Type="http://schemas.openxmlformats.org/officeDocument/2006/relationships/image" Target="../media/image47.png"/><Relationship Id="rId6" Type="http://schemas.microsoft.com/office/2007/relationships/hdphoto" Target="../media/hdphoto5.wdp"/><Relationship Id="rId5" Type="http://schemas.openxmlformats.org/officeDocument/2006/relationships/image" Target="../media/image29.png"/><Relationship Id="rId4" Type="http://schemas.openxmlformats.org/officeDocument/2006/relationships/chart" Target="../charts/chart20.xml"/><Relationship Id="rId9"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8" Type="http://schemas.openxmlformats.org/officeDocument/2006/relationships/image" Target="../media/image56.emf"/><Relationship Id="rId3" Type="http://schemas.openxmlformats.org/officeDocument/2006/relationships/image" Target="../media/image51.emf"/><Relationship Id="rId7" Type="http://schemas.openxmlformats.org/officeDocument/2006/relationships/image" Target="../media/image55.emf"/><Relationship Id="rId2" Type="http://schemas.openxmlformats.org/officeDocument/2006/relationships/image" Target="../media/image50.emf"/><Relationship Id="rId1" Type="http://schemas.openxmlformats.org/officeDocument/2006/relationships/image" Target="../media/image49.emf"/><Relationship Id="rId6" Type="http://schemas.openxmlformats.org/officeDocument/2006/relationships/image" Target="../media/image54.emf"/><Relationship Id="rId5" Type="http://schemas.openxmlformats.org/officeDocument/2006/relationships/image" Target="../media/image53.emf"/><Relationship Id="rId4" Type="http://schemas.openxmlformats.org/officeDocument/2006/relationships/image" Target="../media/image52.emf"/></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205;NDICE!A1"/><Relationship Id="rId7" Type="http://schemas.microsoft.com/office/2007/relationships/hdphoto" Target="../media/hdphoto2.wdp"/><Relationship Id="rId2" Type="http://schemas.openxmlformats.org/officeDocument/2006/relationships/image" Target="../media/image16.svg"/><Relationship Id="rId1" Type="http://schemas.openxmlformats.org/officeDocument/2006/relationships/image" Target="../media/image15.png"/><Relationship Id="rId6" Type="http://schemas.openxmlformats.org/officeDocument/2006/relationships/image" Target="../media/image18.png"/><Relationship Id="rId11" Type="http://schemas.openxmlformats.org/officeDocument/2006/relationships/image" Target="../media/image20.emf"/><Relationship Id="rId5" Type="http://schemas.microsoft.com/office/2007/relationships/hdphoto" Target="../media/hdphoto1.wdp"/><Relationship Id="rId10" Type="http://schemas.openxmlformats.org/officeDocument/2006/relationships/chart" Target="../charts/chart1.xml"/><Relationship Id="rId4" Type="http://schemas.openxmlformats.org/officeDocument/2006/relationships/image" Target="../media/image17.png"/><Relationship Id="rId9" Type="http://schemas.microsoft.com/office/2007/relationships/hdphoto" Target="../media/hdphoto3.wdp"/></Relationships>
</file>

<file path=xl/drawings/_rels/drawing3.xml.rels><?xml version="1.0" encoding="UTF-8" standalone="yes"?>
<Relationships xmlns="http://schemas.openxmlformats.org/package/2006/relationships"><Relationship Id="rId3" Type="http://schemas.openxmlformats.org/officeDocument/2006/relationships/image" Target="../media/image23.jpeg"/><Relationship Id="rId2" Type="http://schemas.microsoft.com/office/2007/relationships/hdphoto" Target="../media/hdphoto4.wdp"/><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microsoft.com/office/2007/relationships/hdphoto" Target="../media/hdphoto5.wdp"/><Relationship Id="rId13" Type="http://schemas.openxmlformats.org/officeDocument/2006/relationships/chart" Target="../charts/chart4.xml"/><Relationship Id="rId3" Type="http://schemas.openxmlformats.org/officeDocument/2006/relationships/hyperlink" Target="#&#205;NDICE!A1"/><Relationship Id="rId7" Type="http://schemas.openxmlformats.org/officeDocument/2006/relationships/image" Target="../media/image29.png"/><Relationship Id="rId12" Type="http://schemas.openxmlformats.org/officeDocument/2006/relationships/chart" Target="../charts/chart3.xml"/><Relationship Id="rId17" Type="http://schemas.openxmlformats.org/officeDocument/2006/relationships/image" Target="../media/image31.emf"/><Relationship Id="rId2" Type="http://schemas.openxmlformats.org/officeDocument/2006/relationships/image" Target="../media/image25.svg"/><Relationship Id="rId16" Type="http://schemas.openxmlformats.org/officeDocument/2006/relationships/chart" Target="../charts/chart7.xml"/><Relationship Id="rId1" Type="http://schemas.openxmlformats.org/officeDocument/2006/relationships/image" Target="../media/image24.png"/><Relationship Id="rId6" Type="http://schemas.openxmlformats.org/officeDocument/2006/relationships/image" Target="../media/image28.png"/><Relationship Id="rId11" Type="http://schemas.openxmlformats.org/officeDocument/2006/relationships/chart" Target="../charts/chart2.xml"/><Relationship Id="rId5" Type="http://schemas.openxmlformats.org/officeDocument/2006/relationships/image" Target="../media/image27.png"/><Relationship Id="rId15" Type="http://schemas.openxmlformats.org/officeDocument/2006/relationships/chart" Target="../charts/chart6.xml"/><Relationship Id="rId10" Type="http://schemas.microsoft.com/office/2007/relationships/hdphoto" Target="../media/hdphoto6.wdp"/><Relationship Id="rId4" Type="http://schemas.openxmlformats.org/officeDocument/2006/relationships/image" Target="../media/image26.png"/><Relationship Id="rId9" Type="http://schemas.openxmlformats.org/officeDocument/2006/relationships/image" Target="../media/image30.png"/><Relationship Id="rId1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38.jpeg"/><Relationship Id="rId2" Type="http://schemas.openxmlformats.org/officeDocument/2006/relationships/image" Target="../media/image33.png"/><Relationship Id="rId1" Type="http://schemas.openxmlformats.org/officeDocument/2006/relationships/chart" Target="../charts/chart8.xml"/><Relationship Id="rId6" Type="http://schemas.openxmlformats.org/officeDocument/2006/relationships/image" Target="../media/image37.png"/><Relationship Id="rId5" Type="http://schemas.openxmlformats.org/officeDocument/2006/relationships/image" Target="../media/image36.jpg"/><Relationship Id="rId4" Type="http://schemas.openxmlformats.org/officeDocument/2006/relationships/image" Target="../media/image35.jpg"/></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hyperlink" Target="#&#205;NDICE!A1"/><Relationship Id="rId7" Type="http://schemas.openxmlformats.org/officeDocument/2006/relationships/chart" Target="../charts/chart10.xml"/><Relationship Id="rId12" Type="http://schemas.openxmlformats.org/officeDocument/2006/relationships/chart" Target="../charts/chart15.xml"/><Relationship Id="rId2" Type="http://schemas.openxmlformats.org/officeDocument/2006/relationships/image" Target="../media/image40.svg"/><Relationship Id="rId16" Type="http://schemas.openxmlformats.org/officeDocument/2006/relationships/chart" Target="../charts/chart19.xml"/><Relationship Id="rId1" Type="http://schemas.openxmlformats.org/officeDocument/2006/relationships/image" Target="../media/image39.png"/><Relationship Id="rId6" Type="http://schemas.openxmlformats.org/officeDocument/2006/relationships/chart" Target="../charts/chart9.xml"/><Relationship Id="rId11" Type="http://schemas.openxmlformats.org/officeDocument/2006/relationships/chart" Target="../charts/chart14.xml"/><Relationship Id="rId5" Type="http://schemas.microsoft.com/office/2007/relationships/hdphoto" Target="../media/hdphoto5.wdp"/><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image" Target="../media/image29.png"/><Relationship Id="rId9" Type="http://schemas.openxmlformats.org/officeDocument/2006/relationships/chart" Target="../charts/chart12.xml"/><Relationship Id="rId14" Type="http://schemas.openxmlformats.org/officeDocument/2006/relationships/chart" Target="../charts/chart17.xml"/></Relationships>
</file>

<file path=xl/drawings/_rels/drawing7.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42.svg"/><Relationship Id="rId1" Type="http://schemas.openxmlformats.org/officeDocument/2006/relationships/image" Target="../media/image41.png"/></Relationships>
</file>

<file path=xl/drawings/_rels/drawing8.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44.svg"/><Relationship Id="rId1" Type="http://schemas.openxmlformats.org/officeDocument/2006/relationships/image" Target="../media/image43.png"/></Relationships>
</file>

<file path=xl/drawings/_rels/drawing9.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46.svg"/><Relationship Id="rId1" Type="http://schemas.openxmlformats.org/officeDocument/2006/relationships/image" Target="../media/image4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xdr:from>
      <xdr:col>1</xdr:col>
      <xdr:colOff>825132</xdr:colOff>
      <xdr:row>14</xdr:row>
      <xdr:rowOff>138444</xdr:rowOff>
    </xdr:from>
    <xdr:to>
      <xdr:col>6</xdr:col>
      <xdr:colOff>13125</xdr:colOff>
      <xdr:row>18</xdr:row>
      <xdr:rowOff>36069</xdr:rowOff>
    </xdr:to>
    <xdr:grpSp>
      <xdr:nvGrpSpPr>
        <xdr:cNvPr id="14" name="Grupo 13">
          <a:hlinkClick xmlns:r="http://schemas.openxmlformats.org/officeDocument/2006/relationships" r:id="rId1"/>
          <a:extLst>
            <a:ext uri="{FF2B5EF4-FFF2-40B4-BE49-F238E27FC236}">
              <a16:creationId xmlns:a16="http://schemas.microsoft.com/office/drawing/2014/main" id="{14E5C953-B802-4DFC-8AC6-938FA9A8B05F}"/>
            </a:ext>
          </a:extLst>
        </xdr:cNvPr>
        <xdr:cNvGrpSpPr/>
      </xdr:nvGrpSpPr>
      <xdr:grpSpPr>
        <a:xfrm>
          <a:off x="1029239" y="2783332"/>
          <a:ext cx="3397703" cy="612000"/>
          <a:chOff x="1017320" y="329194"/>
          <a:chExt cx="3369025" cy="628613"/>
        </a:xfrm>
      </xdr:grpSpPr>
      <xdr:sp macro="" textlink="">
        <xdr:nvSpPr>
          <xdr:cNvPr id="15" name="Rectángulo: esquinas redondeadas 14">
            <a:extLst>
              <a:ext uri="{FF2B5EF4-FFF2-40B4-BE49-F238E27FC236}">
                <a16:creationId xmlns:a16="http://schemas.microsoft.com/office/drawing/2014/main" id="{C5A690A2-F766-C9A1-F421-14FF22318068}"/>
              </a:ext>
            </a:extLst>
          </xdr:cNvPr>
          <xdr:cNvSpPr/>
        </xdr:nvSpPr>
        <xdr:spPr>
          <a:xfrm>
            <a:off x="1041520" y="371446"/>
            <a:ext cx="3344825" cy="542289"/>
          </a:xfrm>
          <a:prstGeom prst="roundRect">
            <a:avLst>
              <a:gd name="adj" fmla="val 50000"/>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ES" sz="1100"/>
          </a:p>
        </xdr:txBody>
      </xdr:sp>
      <xdr:sp macro="" textlink="">
        <xdr:nvSpPr>
          <xdr:cNvPr id="16" name="Elipse 15">
            <a:extLst>
              <a:ext uri="{FF2B5EF4-FFF2-40B4-BE49-F238E27FC236}">
                <a16:creationId xmlns:a16="http://schemas.microsoft.com/office/drawing/2014/main" id="{69BBFE73-17FE-C8EC-9FB6-F82B3D385C1F}"/>
              </a:ext>
            </a:extLst>
          </xdr:cNvPr>
          <xdr:cNvSpPr/>
        </xdr:nvSpPr>
        <xdr:spPr>
          <a:xfrm>
            <a:off x="1017320" y="329194"/>
            <a:ext cx="608816" cy="628613"/>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7" name="Elipse 16">
            <a:extLst>
              <a:ext uri="{FF2B5EF4-FFF2-40B4-BE49-F238E27FC236}">
                <a16:creationId xmlns:a16="http://schemas.microsoft.com/office/drawing/2014/main" id="{B8BF6795-50A3-4882-3F56-8562F8A3A4A2}"/>
              </a:ext>
            </a:extLst>
          </xdr:cNvPr>
          <xdr:cNvSpPr/>
        </xdr:nvSpPr>
        <xdr:spPr>
          <a:xfrm>
            <a:off x="1047473" y="371447"/>
            <a:ext cx="529200" cy="537507"/>
          </a:xfrm>
          <a:prstGeom prst="ellipse">
            <a:avLst/>
          </a:prstGeom>
          <a:solidFill>
            <a:schemeClr val="bg1"/>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ES" sz="1100"/>
          </a:p>
        </xdr:txBody>
      </xdr:sp>
    </xdr:grpSp>
    <xdr:clientData/>
  </xdr:twoCellAnchor>
  <xdr:twoCellAnchor>
    <xdr:from>
      <xdr:col>2</xdr:col>
      <xdr:colOff>621324</xdr:colOff>
      <xdr:row>15</xdr:row>
      <xdr:rowOff>145072</xdr:rowOff>
    </xdr:from>
    <xdr:to>
      <xdr:col>5</xdr:col>
      <xdr:colOff>452804</xdr:colOff>
      <xdr:row>17</xdr:row>
      <xdr:rowOff>27842</xdr:rowOff>
    </xdr:to>
    <xdr:sp macro="" textlink="">
      <xdr:nvSpPr>
        <xdr:cNvPr id="36" name="CuadroTexto 35">
          <a:hlinkClick xmlns:r="http://schemas.openxmlformats.org/officeDocument/2006/relationships" r:id="rId1"/>
          <a:extLst>
            <a:ext uri="{FF2B5EF4-FFF2-40B4-BE49-F238E27FC236}">
              <a16:creationId xmlns:a16="http://schemas.microsoft.com/office/drawing/2014/main" id="{CC1CE317-43B5-4E7F-94AB-4BEE6ACA6F67}"/>
            </a:ext>
          </a:extLst>
        </xdr:cNvPr>
        <xdr:cNvSpPr txBox="1"/>
      </xdr:nvSpPr>
      <xdr:spPr>
        <a:xfrm>
          <a:off x="1654420" y="3031880"/>
          <a:ext cx="2337288" cy="249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400" b="1">
              <a:solidFill>
                <a:schemeClr val="bg2"/>
              </a:solidFill>
              <a:latin typeface="Century Gothic" panose="020B0502020202020204" pitchFamily="34" charset="0"/>
            </a:rPr>
            <a:t>ENERGÍA RENOVABLE</a:t>
          </a:r>
        </a:p>
      </xdr:txBody>
    </xdr:sp>
    <xdr:clientData/>
  </xdr:twoCellAnchor>
  <xdr:twoCellAnchor>
    <xdr:from>
      <xdr:col>1</xdr:col>
      <xdr:colOff>817960</xdr:colOff>
      <xdr:row>4</xdr:row>
      <xdr:rowOff>146447</xdr:rowOff>
    </xdr:from>
    <xdr:to>
      <xdr:col>6</xdr:col>
      <xdr:colOff>5953</xdr:colOff>
      <xdr:row>8</xdr:row>
      <xdr:rowOff>44072</xdr:rowOff>
    </xdr:to>
    <xdr:grpSp>
      <xdr:nvGrpSpPr>
        <xdr:cNvPr id="49" name="Grupo 48">
          <a:hlinkClick xmlns:r="http://schemas.openxmlformats.org/officeDocument/2006/relationships" r:id="rId2"/>
          <a:extLst>
            <a:ext uri="{FF2B5EF4-FFF2-40B4-BE49-F238E27FC236}">
              <a16:creationId xmlns:a16="http://schemas.microsoft.com/office/drawing/2014/main" id="{FF89DA03-9E44-9A59-8652-18A647024A35}"/>
            </a:ext>
          </a:extLst>
        </xdr:cNvPr>
        <xdr:cNvGrpSpPr/>
      </xdr:nvGrpSpPr>
      <xdr:grpSpPr>
        <a:xfrm>
          <a:off x="1022067" y="1005398"/>
          <a:ext cx="3397703" cy="612000"/>
          <a:chOff x="1022067" y="1021192"/>
          <a:chExt cx="3367330" cy="636298"/>
        </a:xfrm>
      </xdr:grpSpPr>
      <xdr:grpSp>
        <xdr:nvGrpSpPr>
          <xdr:cNvPr id="9" name="Grupo 8">
            <a:hlinkClick xmlns:r="http://schemas.openxmlformats.org/officeDocument/2006/relationships" r:id="rId3"/>
            <a:extLst>
              <a:ext uri="{FF2B5EF4-FFF2-40B4-BE49-F238E27FC236}">
                <a16:creationId xmlns:a16="http://schemas.microsoft.com/office/drawing/2014/main" id="{2EE5BF77-E1C6-1C34-526F-2379DF14B192}"/>
              </a:ext>
            </a:extLst>
          </xdr:cNvPr>
          <xdr:cNvGrpSpPr/>
        </xdr:nvGrpSpPr>
        <xdr:grpSpPr>
          <a:xfrm>
            <a:off x="1022067" y="1021192"/>
            <a:ext cx="3367330" cy="636298"/>
            <a:chOff x="1017320" y="329194"/>
            <a:chExt cx="3369025" cy="628613"/>
          </a:xfrm>
        </xdr:grpSpPr>
        <xdr:sp macro="" textlink="">
          <xdr:nvSpPr>
            <xdr:cNvPr id="3" name="Rectángulo: esquinas redondeadas 2">
              <a:extLst>
                <a:ext uri="{FF2B5EF4-FFF2-40B4-BE49-F238E27FC236}">
                  <a16:creationId xmlns:a16="http://schemas.microsoft.com/office/drawing/2014/main" id="{29D31196-6214-47D7-4855-A4D69107DCB6}"/>
                </a:ext>
              </a:extLst>
            </xdr:cNvPr>
            <xdr:cNvSpPr/>
          </xdr:nvSpPr>
          <xdr:spPr>
            <a:xfrm>
              <a:off x="1041520" y="371446"/>
              <a:ext cx="3344825" cy="542289"/>
            </a:xfrm>
            <a:prstGeom prst="roundRect">
              <a:avLst>
                <a:gd name="adj" fmla="val 50000"/>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4AC1919-6B11-1954-08FA-2008546A7CF8}"/>
                </a:ext>
              </a:extLst>
            </xdr:cNvPr>
            <xdr:cNvSpPr/>
          </xdr:nvSpPr>
          <xdr:spPr>
            <a:xfrm>
              <a:off x="1017320" y="329194"/>
              <a:ext cx="608816" cy="628613"/>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 name="Elipse 4">
              <a:extLst>
                <a:ext uri="{FF2B5EF4-FFF2-40B4-BE49-F238E27FC236}">
                  <a16:creationId xmlns:a16="http://schemas.microsoft.com/office/drawing/2014/main" id="{F8720CD8-36B8-4912-93A5-0C55DF4BC985}"/>
                </a:ext>
              </a:extLst>
            </xdr:cNvPr>
            <xdr:cNvSpPr/>
          </xdr:nvSpPr>
          <xdr:spPr>
            <a:xfrm>
              <a:off x="1047473" y="371447"/>
              <a:ext cx="529200" cy="537507"/>
            </a:xfrm>
            <a:prstGeom prst="ellipse">
              <a:avLst/>
            </a:prstGeom>
            <a:solidFill>
              <a:schemeClr val="bg1"/>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ES" sz="1100"/>
            </a:p>
          </xdr:txBody>
        </xdr:sp>
      </xdr:grpSp>
      <xdr:sp macro="" textlink="">
        <xdr:nvSpPr>
          <xdr:cNvPr id="34" name="CuadroTexto 33">
            <a:hlinkClick xmlns:r="http://schemas.openxmlformats.org/officeDocument/2006/relationships" r:id="rId3"/>
            <a:extLst>
              <a:ext uri="{FF2B5EF4-FFF2-40B4-BE49-F238E27FC236}">
                <a16:creationId xmlns:a16="http://schemas.microsoft.com/office/drawing/2014/main" id="{FE8D40AE-9249-3594-ECEE-42D623717E1F}"/>
              </a:ext>
            </a:extLst>
          </xdr:cNvPr>
          <xdr:cNvSpPr txBox="1"/>
        </xdr:nvSpPr>
        <xdr:spPr>
          <a:xfrm>
            <a:off x="1655436" y="1205951"/>
            <a:ext cx="2339083" cy="252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400" b="1">
                <a:solidFill>
                  <a:schemeClr val="bg2"/>
                </a:solidFill>
                <a:latin typeface="Century Gothic" panose="020B0502020202020204" pitchFamily="34" charset="0"/>
              </a:rPr>
              <a:t>EDIFICIOS ECOLÓGICOS</a:t>
            </a:r>
          </a:p>
        </xdr:txBody>
      </xdr:sp>
      <xdr:pic>
        <xdr:nvPicPr>
          <xdr:cNvPr id="42" name="Gráfico 41" descr="Ciudad contorno">
            <a:extLst>
              <a:ext uri="{FF2B5EF4-FFF2-40B4-BE49-F238E27FC236}">
                <a16:creationId xmlns:a16="http://schemas.microsoft.com/office/drawing/2014/main" id="{825F4ACA-BA8E-4638-2DAF-35284FF1AFB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091263" y="1088720"/>
            <a:ext cx="468000" cy="470991"/>
          </a:xfrm>
          <a:prstGeom prst="rect">
            <a:avLst/>
          </a:prstGeom>
        </xdr:spPr>
      </xdr:pic>
    </xdr:grpSp>
    <xdr:clientData/>
  </xdr:twoCellAnchor>
  <xdr:twoCellAnchor>
    <xdr:from>
      <xdr:col>1</xdr:col>
      <xdr:colOff>808518</xdr:colOff>
      <xdr:row>9</xdr:row>
      <xdr:rowOff>138445</xdr:rowOff>
    </xdr:from>
    <xdr:to>
      <xdr:col>5</xdr:col>
      <xdr:colOff>832717</xdr:colOff>
      <xdr:row>13</xdr:row>
      <xdr:rowOff>36070</xdr:rowOff>
    </xdr:to>
    <xdr:grpSp>
      <xdr:nvGrpSpPr>
        <xdr:cNvPr id="41" name="Grupo 40">
          <a:extLst>
            <a:ext uri="{FF2B5EF4-FFF2-40B4-BE49-F238E27FC236}">
              <a16:creationId xmlns:a16="http://schemas.microsoft.com/office/drawing/2014/main" id="{253A5340-C424-EF51-43AF-D7A3DF666EB6}"/>
            </a:ext>
          </a:extLst>
        </xdr:cNvPr>
        <xdr:cNvGrpSpPr/>
      </xdr:nvGrpSpPr>
      <xdr:grpSpPr>
        <a:xfrm>
          <a:off x="1012625" y="1890365"/>
          <a:ext cx="3391967" cy="612000"/>
          <a:chOff x="1012625" y="1936532"/>
          <a:chExt cx="3367669" cy="636298"/>
        </a:xfrm>
      </xdr:grpSpPr>
      <xdr:grpSp>
        <xdr:nvGrpSpPr>
          <xdr:cNvPr id="10" name="Grupo 9">
            <a:hlinkClick xmlns:r="http://schemas.openxmlformats.org/officeDocument/2006/relationships" r:id="rId6"/>
            <a:extLst>
              <a:ext uri="{FF2B5EF4-FFF2-40B4-BE49-F238E27FC236}">
                <a16:creationId xmlns:a16="http://schemas.microsoft.com/office/drawing/2014/main" id="{EE19EFF0-D804-41C1-9533-FB9C03AD487D}"/>
              </a:ext>
            </a:extLst>
          </xdr:cNvPr>
          <xdr:cNvGrpSpPr/>
        </xdr:nvGrpSpPr>
        <xdr:grpSpPr>
          <a:xfrm>
            <a:off x="1012625" y="1936532"/>
            <a:ext cx="3367669" cy="636298"/>
            <a:chOff x="1017320" y="329194"/>
            <a:chExt cx="3369025" cy="628613"/>
          </a:xfrm>
        </xdr:grpSpPr>
        <xdr:sp macro="" textlink="">
          <xdr:nvSpPr>
            <xdr:cNvPr id="11" name="Rectángulo: esquinas redondeadas 10">
              <a:extLst>
                <a:ext uri="{FF2B5EF4-FFF2-40B4-BE49-F238E27FC236}">
                  <a16:creationId xmlns:a16="http://schemas.microsoft.com/office/drawing/2014/main" id="{5D1734F9-F56A-B5EF-CA57-076799ED48E3}"/>
                </a:ext>
              </a:extLst>
            </xdr:cNvPr>
            <xdr:cNvSpPr/>
          </xdr:nvSpPr>
          <xdr:spPr>
            <a:xfrm>
              <a:off x="1041520" y="371446"/>
              <a:ext cx="3344825" cy="542289"/>
            </a:xfrm>
            <a:prstGeom prst="roundRect">
              <a:avLst>
                <a:gd name="adj" fmla="val 50000"/>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es-ES" sz="1100"/>
            </a:p>
          </xdr:txBody>
        </xdr:sp>
        <xdr:sp macro="" textlink="">
          <xdr:nvSpPr>
            <xdr:cNvPr id="12" name="Elipse 11">
              <a:extLst>
                <a:ext uri="{FF2B5EF4-FFF2-40B4-BE49-F238E27FC236}">
                  <a16:creationId xmlns:a16="http://schemas.microsoft.com/office/drawing/2014/main" id="{E0DA600D-8714-821D-6762-F09F430FF2A7}"/>
                </a:ext>
              </a:extLst>
            </xdr:cNvPr>
            <xdr:cNvSpPr/>
          </xdr:nvSpPr>
          <xdr:spPr>
            <a:xfrm>
              <a:off x="1017320" y="329194"/>
              <a:ext cx="608816" cy="628613"/>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3" name="Elipse 12">
              <a:extLst>
                <a:ext uri="{FF2B5EF4-FFF2-40B4-BE49-F238E27FC236}">
                  <a16:creationId xmlns:a16="http://schemas.microsoft.com/office/drawing/2014/main" id="{1F896D43-5EE7-AF6A-5BE3-C71BEDEA9178}"/>
                </a:ext>
              </a:extLst>
            </xdr:cNvPr>
            <xdr:cNvSpPr/>
          </xdr:nvSpPr>
          <xdr:spPr>
            <a:xfrm>
              <a:off x="1047473" y="371447"/>
              <a:ext cx="529200" cy="537507"/>
            </a:xfrm>
            <a:prstGeom prst="ellipse">
              <a:avLst/>
            </a:prstGeom>
            <a:solidFill>
              <a:schemeClr val="bg1"/>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ES" sz="1100"/>
            </a:p>
          </xdr:txBody>
        </xdr:sp>
      </xdr:grpSp>
      <xdr:sp macro="" textlink="">
        <xdr:nvSpPr>
          <xdr:cNvPr id="35" name="CuadroTexto 34">
            <a:hlinkClick xmlns:r="http://schemas.openxmlformats.org/officeDocument/2006/relationships" r:id="rId6"/>
            <a:extLst>
              <a:ext uri="{FF2B5EF4-FFF2-40B4-BE49-F238E27FC236}">
                <a16:creationId xmlns:a16="http://schemas.microsoft.com/office/drawing/2014/main" id="{84B55B69-C3FB-47A4-B4FB-B1953B453C03}"/>
              </a:ext>
            </a:extLst>
          </xdr:cNvPr>
          <xdr:cNvSpPr txBox="1"/>
        </xdr:nvSpPr>
        <xdr:spPr>
          <a:xfrm>
            <a:off x="1662763" y="2129293"/>
            <a:ext cx="2339083" cy="252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400" b="1">
                <a:solidFill>
                  <a:schemeClr val="bg2"/>
                </a:solidFill>
                <a:latin typeface="Century Gothic" panose="020B0502020202020204" pitchFamily="34" charset="0"/>
              </a:rPr>
              <a:t>EFICIENCIA ENERGÉTICA</a:t>
            </a:r>
          </a:p>
        </xdr:txBody>
      </xdr:sp>
      <xdr:pic>
        <xdr:nvPicPr>
          <xdr:cNvPr id="43" name="Gráfico 42" descr="energía renovable contorno">
            <a:extLst>
              <a:ext uri="{FF2B5EF4-FFF2-40B4-BE49-F238E27FC236}">
                <a16:creationId xmlns:a16="http://schemas.microsoft.com/office/drawing/2014/main" id="{B4C8C449-2E8E-4840-B52B-5A166CCF6E6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1075144" y="2010597"/>
            <a:ext cx="468000" cy="470991"/>
          </a:xfrm>
          <a:prstGeom prst="rect">
            <a:avLst/>
          </a:prstGeom>
        </xdr:spPr>
      </xdr:pic>
    </xdr:grpSp>
    <xdr:clientData/>
  </xdr:twoCellAnchor>
  <xdr:twoCellAnchor editAs="oneCell">
    <xdr:from>
      <xdr:col>2</xdr:col>
      <xdr:colOff>70339</xdr:colOff>
      <xdr:row>15</xdr:row>
      <xdr:rowOff>48357</xdr:rowOff>
    </xdr:from>
    <xdr:to>
      <xdr:col>2</xdr:col>
      <xdr:colOff>502339</xdr:colOff>
      <xdr:row>17</xdr:row>
      <xdr:rowOff>114011</xdr:rowOff>
    </xdr:to>
    <xdr:pic>
      <xdr:nvPicPr>
        <xdr:cNvPr id="44" name="Gráfico 43" descr="Paneles solares contorno">
          <a:extLst>
            <a:ext uri="{FF2B5EF4-FFF2-40B4-BE49-F238E27FC236}">
              <a16:creationId xmlns:a16="http://schemas.microsoft.com/office/drawing/2014/main" id="{2A85606D-2931-4314-8E26-0D99610D857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xdr:blipFill>
      <xdr:spPr>
        <a:xfrm>
          <a:off x="1103435" y="2935165"/>
          <a:ext cx="432000" cy="432000"/>
        </a:xfrm>
        <a:prstGeom prst="rect">
          <a:avLst/>
        </a:prstGeom>
      </xdr:spPr>
    </xdr:pic>
    <xdr:clientData/>
  </xdr:twoCellAnchor>
  <xdr:twoCellAnchor>
    <xdr:from>
      <xdr:col>6</xdr:col>
      <xdr:colOff>825129</xdr:colOff>
      <xdr:row>4</xdr:row>
      <xdr:rowOff>129329</xdr:rowOff>
    </xdr:from>
    <xdr:to>
      <xdr:col>11</xdr:col>
      <xdr:colOff>13122</xdr:colOff>
      <xdr:row>8</xdr:row>
      <xdr:rowOff>26954</xdr:rowOff>
    </xdr:to>
    <xdr:grpSp>
      <xdr:nvGrpSpPr>
        <xdr:cNvPr id="6" name="Grupo 5">
          <a:extLst>
            <a:ext uri="{FF2B5EF4-FFF2-40B4-BE49-F238E27FC236}">
              <a16:creationId xmlns:a16="http://schemas.microsoft.com/office/drawing/2014/main" id="{F3E36B12-3859-061E-5CFD-7189DE90D638}"/>
            </a:ext>
          </a:extLst>
        </xdr:cNvPr>
        <xdr:cNvGrpSpPr/>
      </xdr:nvGrpSpPr>
      <xdr:grpSpPr>
        <a:xfrm>
          <a:off x="5238946" y="988280"/>
          <a:ext cx="3397703" cy="612000"/>
          <a:chOff x="5208573" y="1004074"/>
          <a:chExt cx="3367330" cy="636298"/>
        </a:xfrm>
      </xdr:grpSpPr>
      <xdr:grpSp>
        <xdr:nvGrpSpPr>
          <xdr:cNvPr id="18" name="Grupo 17">
            <a:hlinkClick xmlns:r="http://schemas.openxmlformats.org/officeDocument/2006/relationships" r:id="rId11"/>
            <a:extLst>
              <a:ext uri="{FF2B5EF4-FFF2-40B4-BE49-F238E27FC236}">
                <a16:creationId xmlns:a16="http://schemas.microsoft.com/office/drawing/2014/main" id="{36BCB0FE-C843-45DB-8311-0C702878365E}"/>
              </a:ext>
            </a:extLst>
          </xdr:cNvPr>
          <xdr:cNvGrpSpPr/>
        </xdr:nvGrpSpPr>
        <xdr:grpSpPr>
          <a:xfrm flipH="1">
            <a:off x="5208573" y="1004074"/>
            <a:ext cx="3367330" cy="636298"/>
            <a:chOff x="1017320" y="329194"/>
            <a:chExt cx="3369025" cy="628613"/>
          </a:xfrm>
        </xdr:grpSpPr>
        <xdr:sp macro="" textlink="">
          <xdr:nvSpPr>
            <xdr:cNvPr id="19" name="Rectángulo: esquinas redondeadas 18">
              <a:extLst>
                <a:ext uri="{FF2B5EF4-FFF2-40B4-BE49-F238E27FC236}">
                  <a16:creationId xmlns:a16="http://schemas.microsoft.com/office/drawing/2014/main" id="{E5560504-A732-AB48-EA3A-7D4FCA176E4A}"/>
                </a:ext>
              </a:extLst>
            </xdr:cNvPr>
            <xdr:cNvSpPr/>
          </xdr:nvSpPr>
          <xdr:spPr>
            <a:xfrm>
              <a:off x="1041520" y="371446"/>
              <a:ext cx="3344825" cy="542289"/>
            </a:xfrm>
            <a:prstGeom prst="roundRect">
              <a:avLst>
                <a:gd name="adj" fmla="val 50000"/>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endParaRPr lang="es-ES" sz="1100"/>
            </a:p>
          </xdr:txBody>
        </xdr:sp>
        <xdr:sp macro="" textlink="">
          <xdr:nvSpPr>
            <xdr:cNvPr id="20" name="Elipse 19">
              <a:extLst>
                <a:ext uri="{FF2B5EF4-FFF2-40B4-BE49-F238E27FC236}">
                  <a16:creationId xmlns:a16="http://schemas.microsoft.com/office/drawing/2014/main" id="{4446C020-9FFA-8C11-6751-211A4AF0FAF0}"/>
                </a:ext>
              </a:extLst>
            </xdr:cNvPr>
            <xdr:cNvSpPr/>
          </xdr:nvSpPr>
          <xdr:spPr>
            <a:xfrm>
              <a:off x="1017320" y="329194"/>
              <a:ext cx="608816" cy="628613"/>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1" name="Elipse 20">
              <a:extLst>
                <a:ext uri="{FF2B5EF4-FFF2-40B4-BE49-F238E27FC236}">
                  <a16:creationId xmlns:a16="http://schemas.microsoft.com/office/drawing/2014/main" id="{9831A67F-7002-7A44-C409-C2DC4DC90299}"/>
                </a:ext>
              </a:extLst>
            </xdr:cNvPr>
            <xdr:cNvSpPr/>
          </xdr:nvSpPr>
          <xdr:spPr>
            <a:xfrm>
              <a:off x="1047473" y="371447"/>
              <a:ext cx="529200" cy="537507"/>
            </a:xfrm>
            <a:prstGeom prst="ellipse">
              <a:avLst/>
            </a:prstGeom>
            <a:solidFill>
              <a:schemeClr val="bg1"/>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ES" sz="1100"/>
            </a:p>
          </xdr:txBody>
        </xdr:sp>
      </xdr:grpSp>
      <xdr:sp macro="" textlink="">
        <xdr:nvSpPr>
          <xdr:cNvPr id="37" name="CuadroTexto 36">
            <a:hlinkClick xmlns:r="http://schemas.openxmlformats.org/officeDocument/2006/relationships" r:id="rId11"/>
            <a:extLst>
              <a:ext uri="{FF2B5EF4-FFF2-40B4-BE49-F238E27FC236}">
                <a16:creationId xmlns:a16="http://schemas.microsoft.com/office/drawing/2014/main" id="{95293EDB-9F68-4EEF-9383-E080915BEB7F}"/>
              </a:ext>
            </a:extLst>
          </xdr:cNvPr>
          <xdr:cNvSpPr txBox="1"/>
        </xdr:nvSpPr>
        <xdr:spPr>
          <a:xfrm>
            <a:off x="5571003" y="1055295"/>
            <a:ext cx="2339082" cy="5393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ES" sz="1200" b="1">
                <a:solidFill>
                  <a:schemeClr val="bg2"/>
                </a:solidFill>
                <a:latin typeface="Century Gothic" panose="020B0502020202020204" pitchFamily="34" charset="0"/>
              </a:rPr>
              <a:t>GESTIÓN SOSTENIBLE DEL AGUA Y AGUAS RESIDUALES</a:t>
            </a:r>
          </a:p>
        </xdr:txBody>
      </xdr:sp>
      <xdr:pic>
        <xdr:nvPicPr>
          <xdr:cNvPr id="46" name="Gráfico 45" descr="Grifo con fugas contorno">
            <a:extLst>
              <a:ext uri="{FF2B5EF4-FFF2-40B4-BE49-F238E27FC236}">
                <a16:creationId xmlns:a16="http://schemas.microsoft.com/office/drawing/2014/main" id="{896C87B9-AED4-46ED-B05A-3131B5AF9C6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a:stretch/>
        </xdr:blipFill>
        <xdr:spPr>
          <a:xfrm>
            <a:off x="8058089" y="1082859"/>
            <a:ext cx="468000" cy="470991"/>
          </a:xfrm>
          <a:prstGeom prst="rect">
            <a:avLst/>
          </a:prstGeom>
        </xdr:spPr>
      </xdr:pic>
    </xdr:grpSp>
    <xdr:clientData/>
  </xdr:twoCellAnchor>
  <xdr:twoCellAnchor>
    <xdr:from>
      <xdr:col>6</xdr:col>
      <xdr:colOff>824957</xdr:colOff>
      <xdr:row>9</xdr:row>
      <xdr:rowOff>122003</xdr:rowOff>
    </xdr:from>
    <xdr:to>
      <xdr:col>11</xdr:col>
      <xdr:colOff>13887</xdr:colOff>
      <xdr:row>13</xdr:row>
      <xdr:rowOff>19627</xdr:rowOff>
    </xdr:to>
    <xdr:grpSp>
      <xdr:nvGrpSpPr>
        <xdr:cNvPr id="2" name="Grupo 1">
          <a:hlinkClick xmlns:r="http://schemas.openxmlformats.org/officeDocument/2006/relationships" r:id="rId14"/>
          <a:extLst>
            <a:ext uri="{FF2B5EF4-FFF2-40B4-BE49-F238E27FC236}">
              <a16:creationId xmlns:a16="http://schemas.microsoft.com/office/drawing/2014/main" id="{BDA16DE5-85F9-6586-F1B6-78C51D6FA39D}"/>
            </a:ext>
          </a:extLst>
        </xdr:cNvPr>
        <xdr:cNvGrpSpPr/>
      </xdr:nvGrpSpPr>
      <xdr:grpSpPr>
        <a:xfrm>
          <a:off x="5238774" y="1873923"/>
          <a:ext cx="3398640" cy="611999"/>
          <a:chOff x="5208401" y="1920090"/>
          <a:chExt cx="3368267" cy="636297"/>
        </a:xfrm>
      </xdr:grpSpPr>
      <xdr:grpSp>
        <xdr:nvGrpSpPr>
          <xdr:cNvPr id="22" name="Grupo 21">
            <a:extLst>
              <a:ext uri="{FF2B5EF4-FFF2-40B4-BE49-F238E27FC236}">
                <a16:creationId xmlns:a16="http://schemas.microsoft.com/office/drawing/2014/main" id="{48EA1B03-2D87-49EE-9766-41E6583F136F}"/>
              </a:ext>
            </a:extLst>
          </xdr:cNvPr>
          <xdr:cNvGrpSpPr/>
        </xdr:nvGrpSpPr>
        <xdr:grpSpPr>
          <a:xfrm flipH="1">
            <a:off x="5208401" y="1920090"/>
            <a:ext cx="3368267" cy="636297"/>
            <a:chOff x="1017320" y="329194"/>
            <a:chExt cx="3369025" cy="628613"/>
          </a:xfrm>
        </xdr:grpSpPr>
        <xdr:sp macro="" textlink="">
          <xdr:nvSpPr>
            <xdr:cNvPr id="23" name="Rectángulo: esquinas redondeadas 22">
              <a:extLst>
                <a:ext uri="{FF2B5EF4-FFF2-40B4-BE49-F238E27FC236}">
                  <a16:creationId xmlns:a16="http://schemas.microsoft.com/office/drawing/2014/main" id="{87A8A96D-5299-5402-8E6B-943412EC5003}"/>
                </a:ext>
              </a:extLst>
            </xdr:cNvPr>
            <xdr:cNvSpPr/>
          </xdr:nvSpPr>
          <xdr:spPr>
            <a:xfrm>
              <a:off x="1041520" y="371446"/>
              <a:ext cx="3344825" cy="542289"/>
            </a:xfrm>
            <a:prstGeom prst="roundRect">
              <a:avLst>
                <a:gd name="adj" fmla="val 5000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ES" sz="1100"/>
            </a:p>
          </xdr:txBody>
        </xdr:sp>
        <xdr:sp macro="" textlink="">
          <xdr:nvSpPr>
            <xdr:cNvPr id="24" name="Elipse 23">
              <a:extLst>
                <a:ext uri="{FF2B5EF4-FFF2-40B4-BE49-F238E27FC236}">
                  <a16:creationId xmlns:a16="http://schemas.microsoft.com/office/drawing/2014/main" id="{33893084-1707-6E78-8379-BE8EA5F5F386}"/>
                </a:ext>
              </a:extLst>
            </xdr:cNvPr>
            <xdr:cNvSpPr/>
          </xdr:nvSpPr>
          <xdr:spPr>
            <a:xfrm>
              <a:off x="1017320" y="329194"/>
              <a:ext cx="608816" cy="628613"/>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5" name="Elipse 24">
              <a:extLst>
                <a:ext uri="{FF2B5EF4-FFF2-40B4-BE49-F238E27FC236}">
                  <a16:creationId xmlns:a16="http://schemas.microsoft.com/office/drawing/2014/main" id="{A4B7C48F-DDC2-CA12-674C-AC0D62851DA2}"/>
                </a:ext>
              </a:extLst>
            </xdr:cNvPr>
            <xdr:cNvSpPr/>
          </xdr:nvSpPr>
          <xdr:spPr>
            <a:xfrm>
              <a:off x="1047473" y="371447"/>
              <a:ext cx="529200" cy="537507"/>
            </a:xfrm>
            <a:prstGeom prst="ellipse">
              <a:avLst/>
            </a:prstGeom>
            <a:solidFill>
              <a:schemeClr val="bg1"/>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ES" sz="1100"/>
            </a:p>
          </xdr:txBody>
        </xdr:sp>
      </xdr:grpSp>
      <xdr:sp macro="" textlink="">
        <xdr:nvSpPr>
          <xdr:cNvPr id="38" name="CuadroTexto 37">
            <a:hlinkClick xmlns:r="http://schemas.openxmlformats.org/officeDocument/2006/relationships" r:id="rId14"/>
            <a:extLst>
              <a:ext uri="{FF2B5EF4-FFF2-40B4-BE49-F238E27FC236}">
                <a16:creationId xmlns:a16="http://schemas.microsoft.com/office/drawing/2014/main" id="{B2922C79-597E-44C6-BEDF-A169EAF8828E}"/>
              </a:ext>
            </a:extLst>
          </xdr:cNvPr>
          <xdr:cNvSpPr txBox="1"/>
        </xdr:nvSpPr>
        <xdr:spPr>
          <a:xfrm>
            <a:off x="5549024" y="1941457"/>
            <a:ext cx="2339082" cy="575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ES" sz="1200" b="1">
                <a:solidFill>
                  <a:schemeClr val="bg2"/>
                </a:solidFill>
                <a:latin typeface="Century Gothic" panose="020B0502020202020204" pitchFamily="34" charset="0"/>
              </a:rPr>
              <a:t>GESTIÓN SOSTENIBLE DE RECURSOS NATURALES</a:t>
            </a:r>
          </a:p>
        </xdr:txBody>
      </xdr:sp>
      <xdr:pic>
        <xdr:nvPicPr>
          <xdr:cNvPr id="47" name="Gráfico 46" descr="Selva tropical contorno">
            <a:extLst>
              <a:ext uri="{FF2B5EF4-FFF2-40B4-BE49-F238E27FC236}">
                <a16:creationId xmlns:a16="http://schemas.microsoft.com/office/drawing/2014/main" id="{95BD8DF1-7434-4D13-8994-069D084E516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rcRect/>
          <a:stretch/>
        </xdr:blipFill>
        <xdr:spPr>
          <a:xfrm>
            <a:off x="8093258" y="2019390"/>
            <a:ext cx="396000" cy="398991"/>
          </a:xfrm>
          <a:prstGeom prst="rect">
            <a:avLst/>
          </a:prstGeom>
        </xdr:spPr>
      </xdr:pic>
    </xdr:grpSp>
    <xdr:clientData/>
  </xdr:twoCellAnchor>
  <xdr:twoCellAnchor>
    <xdr:from>
      <xdr:col>6</xdr:col>
      <xdr:colOff>820613</xdr:colOff>
      <xdr:row>14</xdr:row>
      <xdr:rowOff>124558</xdr:rowOff>
    </xdr:from>
    <xdr:to>
      <xdr:col>11</xdr:col>
      <xdr:colOff>8606</xdr:colOff>
      <xdr:row>18</xdr:row>
      <xdr:rowOff>22183</xdr:rowOff>
    </xdr:to>
    <xdr:grpSp>
      <xdr:nvGrpSpPr>
        <xdr:cNvPr id="7" name="Grupo 6">
          <a:hlinkClick xmlns:r="http://schemas.openxmlformats.org/officeDocument/2006/relationships" r:id="rId17"/>
          <a:extLst>
            <a:ext uri="{FF2B5EF4-FFF2-40B4-BE49-F238E27FC236}">
              <a16:creationId xmlns:a16="http://schemas.microsoft.com/office/drawing/2014/main" id="{5BD97C7D-92D1-0EF6-64E2-292F3B4128D8}"/>
            </a:ext>
          </a:extLst>
        </xdr:cNvPr>
        <xdr:cNvGrpSpPr/>
      </xdr:nvGrpSpPr>
      <xdr:grpSpPr>
        <a:xfrm>
          <a:off x="5234430" y="2769446"/>
          <a:ext cx="3397703" cy="612000"/>
          <a:chOff x="5204057" y="2845987"/>
          <a:chExt cx="3367330" cy="636298"/>
        </a:xfrm>
      </xdr:grpSpPr>
      <xdr:grpSp>
        <xdr:nvGrpSpPr>
          <xdr:cNvPr id="26" name="Grupo 25">
            <a:extLst>
              <a:ext uri="{FF2B5EF4-FFF2-40B4-BE49-F238E27FC236}">
                <a16:creationId xmlns:a16="http://schemas.microsoft.com/office/drawing/2014/main" id="{DDA6CEC9-7031-4097-AA56-5648221D22B7}"/>
              </a:ext>
            </a:extLst>
          </xdr:cNvPr>
          <xdr:cNvGrpSpPr/>
        </xdr:nvGrpSpPr>
        <xdr:grpSpPr>
          <a:xfrm flipH="1">
            <a:off x="5204057" y="2845987"/>
            <a:ext cx="3367330" cy="636298"/>
            <a:chOff x="1017320" y="329194"/>
            <a:chExt cx="3369025" cy="628613"/>
          </a:xfrm>
        </xdr:grpSpPr>
        <xdr:sp macro="" textlink="">
          <xdr:nvSpPr>
            <xdr:cNvPr id="27" name="Rectángulo: esquinas redondeadas 26">
              <a:extLst>
                <a:ext uri="{FF2B5EF4-FFF2-40B4-BE49-F238E27FC236}">
                  <a16:creationId xmlns:a16="http://schemas.microsoft.com/office/drawing/2014/main" id="{1BB3397B-DF72-BFD3-A47A-FEA7179AAEF3}"/>
                </a:ext>
              </a:extLst>
            </xdr:cNvPr>
            <xdr:cNvSpPr/>
          </xdr:nvSpPr>
          <xdr:spPr>
            <a:xfrm>
              <a:off x="1041520" y="371446"/>
              <a:ext cx="3344825" cy="542289"/>
            </a:xfrm>
            <a:prstGeom prst="roundRect">
              <a:avLst>
                <a:gd name="adj" fmla="val 5000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S" sz="1100"/>
            </a:p>
          </xdr:txBody>
        </xdr:sp>
        <xdr:sp macro="" textlink="">
          <xdr:nvSpPr>
            <xdr:cNvPr id="28" name="Elipse 27">
              <a:extLst>
                <a:ext uri="{FF2B5EF4-FFF2-40B4-BE49-F238E27FC236}">
                  <a16:creationId xmlns:a16="http://schemas.microsoft.com/office/drawing/2014/main" id="{C9783396-2773-619C-1415-70213CBFF73E}"/>
                </a:ext>
              </a:extLst>
            </xdr:cNvPr>
            <xdr:cNvSpPr/>
          </xdr:nvSpPr>
          <xdr:spPr>
            <a:xfrm>
              <a:off x="1017320" y="329194"/>
              <a:ext cx="608816" cy="628613"/>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9" name="Elipse 28">
              <a:extLst>
                <a:ext uri="{FF2B5EF4-FFF2-40B4-BE49-F238E27FC236}">
                  <a16:creationId xmlns:a16="http://schemas.microsoft.com/office/drawing/2014/main" id="{85F35682-DC2C-98B1-2928-A8ECBD291024}"/>
                </a:ext>
              </a:extLst>
            </xdr:cNvPr>
            <xdr:cNvSpPr/>
          </xdr:nvSpPr>
          <xdr:spPr>
            <a:xfrm>
              <a:off x="1047473" y="371447"/>
              <a:ext cx="529200" cy="537507"/>
            </a:xfrm>
            <a:prstGeom prst="ellipse">
              <a:avLst/>
            </a:prstGeom>
            <a:solidFill>
              <a:schemeClr val="bg1"/>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ES" sz="1100"/>
            </a:p>
          </xdr:txBody>
        </xdr:sp>
      </xdr:grpSp>
      <xdr:sp macro="" textlink="">
        <xdr:nvSpPr>
          <xdr:cNvPr id="39" name="CuadroTexto 38">
            <a:hlinkClick xmlns:r="http://schemas.openxmlformats.org/officeDocument/2006/relationships" r:id="rId17"/>
            <a:extLst>
              <a:ext uri="{FF2B5EF4-FFF2-40B4-BE49-F238E27FC236}">
                <a16:creationId xmlns:a16="http://schemas.microsoft.com/office/drawing/2014/main" id="{6A8132DD-E6E2-4641-8743-F9E82B632C46}"/>
              </a:ext>
            </a:extLst>
          </xdr:cNvPr>
          <xdr:cNvSpPr txBox="1"/>
        </xdr:nvSpPr>
        <xdr:spPr>
          <a:xfrm>
            <a:off x="5541696" y="2893994"/>
            <a:ext cx="2339082" cy="555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ES" sz="1200" b="1">
                <a:solidFill>
                  <a:schemeClr val="bg2"/>
                </a:solidFill>
                <a:latin typeface="Century Gothic" panose="020B0502020202020204" pitchFamily="34" charset="0"/>
              </a:rPr>
              <a:t>GESTIÓN SOSTENIBLE DE RESIDUOS</a:t>
            </a:r>
          </a:p>
        </xdr:txBody>
      </xdr:sp>
      <xdr:pic>
        <xdr:nvPicPr>
          <xdr:cNvPr id="48" name="Gráfico 47" descr="Basura contorno">
            <a:extLst>
              <a:ext uri="{FF2B5EF4-FFF2-40B4-BE49-F238E27FC236}">
                <a16:creationId xmlns:a16="http://schemas.microsoft.com/office/drawing/2014/main" id="{BAD7828C-5C94-4DB1-998C-995C8CD9183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rcRect/>
          <a:stretch/>
        </xdr:blipFill>
        <xdr:spPr>
          <a:xfrm>
            <a:off x="8062485" y="2933938"/>
            <a:ext cx="432000" cy="434991"/>
          </a:xfrm>
          <a:prstGeom prst="rect">
            <a:avLst/>
          </a:prstGeom>
        </xdr:spPr>
      </xdr:pic>
    </xdr:grpSp>
    <xdr:clientData/>
  </xdr:twoCellAnchor>
  <xdr:twoCellAnchor>
    <xdr:from>
      <xdr:col>4</xdr:col>
      <xdr:colOff>323850</xdr:colOff>
      <xdr:row>19</xdr:row>
      <xdr:rowOff>152400</xdr:rowOff>
    </xdr:from>
    <xdr:to>
      <xdr:col>8</xdr:col>
      <xdr:colOff>337782</xdr:colOff>
      <xdr:row>23</xdr:row>
      <xdr:rowOff>64798</xdr:rowOff>
    </xdr:to>
    <xdr:grpSp>
      <xdr:nvGrpSpPr>
        <xdr:cNvPr id="50" name="Grupo 49">
          <a:hlinkClick xmlns:r="http://schemas.openxmlformats.org/officeDocument/2006/relationships" r:id="rId20"/>
          <a:extLst>
            <a:ext uri="{FF2B5EF4-FFF2-40B4-BE49-F238E27FC236}">
              <a16:creationId xmlns:a16="http://schemas.microsoft.com/office/drawing/2014/main" id="{F6333AE0-DA12-420A-A6A2-B736C6B84012}"/>
            </a:ext>
          </a:extLst>
        </xdr:cNvPr>
        <xdr:cNvGrpSpPr/>
      </xdr:nvGrpSpPr>
      <xdr:grpSpPr>
        <a:xfrm>
          <a:off x="3053783" y="3690257"/>
          <a:ext cx="3381700" cy="626773"/>
          <a:chOff x="3019441" y="3791308"/>
          <a:chExt cx="3366732" cy="636298"/>
        </a:xfrm>
      </xdr:grpSpPr>
      <xdr:grpSp>
        <xdr:nvGrpSpPr>
          <xdr:cNvPr id="51" name="Grupo 50">
            <a:extLst>
              <a:ext uri="{FF2B5EF4-FFF2-40B4-BE49-F238E27FC236}">
                <a16:creationId xmlns:a16="http://schemas.microsoft.com/office/drawing/2014/main" id="{D15F8E18-0425-0D0C-05F6-DD3D96E68831}"/>
              </a:ext>
            </a:extLst>
          </xdr:cNvPr>
          <xdr:cNvGrpSpPr/>
        </xdr:nvGrpSpPr>
        <xdr:grpSpPr>
          <a:xfrm>
            <a:off x="3019441" y="3791308"/>
            <a:ext cx="3366732" cy="636298"/>
            <a:chOff x="1017320" y="329194"/>
            <a:chExt cx="3369025" cy="628613"/>
          </a:xfrm>
        </xdr:grpSpPr>
        <xdr:sp macro="" textlink="">
          <xdr:nvSpPr>
            <xdr:cNvPr id="54" name="Rectángulo: esquinas redondeadas 53">
              <a:extLst>
                <a:ext uri="{FF2B5EF4-FFF2-40B4-BE49-F238E27FC236}">
                  <a16:creationId xmlns:a16="http://schemas.microsoft.com/office/drawing/2014/main" id="{EDE94544-0BB1-DD64-12B9-C2B3DDE0CD52}"/>
                </a:ext>
              </a:extLst>
            </xdr:cNvPr>
            <xdr:cNvSpPr/>
          </xdr:nvSpPr>
          <xdr:spPr>
            <a:xfrm>
              <a:off x="1041520" y="371446"/>
              <a:ext cx="3344825" cy="542289"/>
            </a:xfrm>
            <a:prstGeom prst="roundRect">
              <a:avLst>
                <a:gd name="adj" fmla="val 50000"/>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ES" sz="1100"/>
            </a:p>
          </xdr:txBody>
        </xdr:sp>
        <xdr:sp macro="" textlink="">
          <xdr:nvSpPr>
            <xdr:cNvPr id="55" name="Elipse 54">
              <a:extLst>
                <a:ext uri="{FF2B5EF4-FFF2-40B4-BE49-F238E27FC236}">
                  <a16:creationId xmlns:a16="http://schemas.microsoft.com/office/drawing/2014/main" id="{C40A208A-6FEB-0C04-3F13-0DB420C25363}"/>
                </a:ext>
              </a:extLst>
            </xdr:cNvPr>
            <xdr:cNvSpPr/>
          </xdr:nvSpPr>
          <xdr:spPr>
            <a:xfrm>
              <a:off x="1017320" y="329194"/>
              <a:ext cx="608816" cy="628613"/>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56" name="Elipse 55">
              <a:extLst>
                <a:ext uri="{FF2B5EF4-FFF2-40B4-BE49-F238E27FC236}">
                  <a16:creationId xmlns:a16="http://schemas.microsoft.com/office/drawing/2014/main" id="{789DE52D-7D6B-B592-2B38-E44DEAF177C5}"/>
                </a:ext>
              </a:extLst>
            </xdr:cNvPr>
            <xdr:cNvSpPr/>
          </xdr:nvSpPr>
          <xdr:spPr>
            <a:xfrm>
              <a:off x="1047473" y="371447"/>
              <a:ext cx="529200" cy="537507"/>
            </a:xfrm>
            <a:prstGeom prst="ellipse">
              <a:avLst/>
            </a:prstGeom>
            <a:solidFill>
              <a:schemeClr val="bg1"/>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s-ES" sz="1100"/>
            </a:p>
          </xdr:txBody>
        </xdr:sp>
      </xdr:grpSp>
      <xdr:sp macro="" textlink="">
        <xdr:nvSpPr>
          <xdr:cNvPr id="52" name="CuadroTexto 51">
            <a:hlinkClick xmlns:r="http://schemas.openxmlformats.org/officeDocument/2006/relationships" r:id="rId20"/>
            <a:extLst>
              <a:ext uri="{FF2B5EF4-FFF2-40B4-BE49-F238E27FC236}">
                <a16:creationId xmlns:a16="http://schemas.microsoft.com/office/drawing/2014/main" id="{64085972-B633-E430-991F-64A9B6AF335F}"/>
              </a:ext>
            </a:extLst>
          </xdr:cNvPr>
          <xdr:cNvSpPr txBox="1"/>
        </xdr:nvSpPr>
        <xdr:spPr>
          <a:xfrm>
            <a:off x="3650154" y="3983305"/>
            <a:ext cx="2338484" cy="252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ES" sz="1400" b="1">
                <a:solidFill>
                  <a:schemeClr val="accent3">
                    <a:lumMod val="20000"/>
                    <a:lumOff val="80000"/>
                  </a:schemeClr>
                </a:solidFill>
                <a:latin typeface="Century Gothic" panose="020B0502020202020204" pitchFamily="34" charset="0"/>
              </a:rPr>
              <a:t>TRANSPORTE LIMPIO</a:t>
            </a:r>
          </a:p>
        </xdr:txBody>
      </xdr:sp>
      <xdr:pic>
        <xdr:nvPicPr>
          <xdr:cNvPr id="53" name="Gráfico 52" descr="Ciclismo contorno">
            <a:extLst>
              <a:ext uri="{FF2B5EF4-FFF2-40B4-BE49-F238E27FC236}">
                <a16:creationId xmlns:a16="http://schemas.microsoft.com/office/drawing/2014/main" id="{13EA9D58-53FA-6840-7652-1AA307D75E3D}"/>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rcRect/>
          <a:stretch/>
        </xdr:blipFill>
        <xdr:spPr>
          <a:xfrm>
            <a:off x="3095639" y="3876331"/>
            <a:ext cx="432000" cy="434991"/>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190500</xdr:colOff>
      <xdr:row>3</xdr:row>
      <xdr:rowOff>47626</xdr:rowOff>
    </xdr:from>
    <xdr:to>
      <xdr:col>4</xdr:col>
      <xdr:colOff>771526</xdr:colOff>
      <xdr:row>9</xdr:row>
      <xdr:rowOff>133350</xdr:rowOff>
    </xdr:to>
    <xdr:sp macro="" textlink="">
      <xdr:nvSpPr>
        <xdr:cNvPr id="2" name="CuadroTexto 1">
          <a:extLst>
            <a:ext uri="{FF2B5EF4-FFF2-40B4-BE49-F238E27FC236}">
              <a16:creationId xmlns:a16="http://schemas.microsoft.com/office/drawing/2014/main" id="{317EA8A5-BD2A-4095-807E-5E9134A5FCBF}"/>
            </a:ext>
          </a:extLst>
        </xdr:cNvPr>
        <xdr:cNvSpPr txBox="1"/>
      </xdr:nvSpPr>
      <xdr:spPr>
        <a:xfrm>
          <a:off x="2066925" y="590551"/>
          <a:ext cx="1419226" cy="11715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3200" b="1">
              <a:solidFill>
                <a:schemeClr val="dk1"/>
              </a:solidFill>
              <a:effectLst/>
              <a:latin typeface="Century Gothic" panose="020B0502020202020204" pitchFamily="34" charset="0"/>
              <a:ea typeface="+mn-ea"/>
              <a:cs typeface="+mn-cs"/>
            </a:rPr>
            <a:t>07</a:t>
          </a:r>
        </a:p>
        <a:p>
          <a:pPr marL="0" marR="0" lvl="0" indent="0" algn="ctr" defTabSz="914400" eaLnBrk="1" fontAlgn="auto" latinLnBrk="0" hangingPunct="1">
            <a:lnSpc>
              <a:spcPct val="100000"/>
            </a:lnSpc>
            <a:spcBef>
              <a:spcPts val="0"/>
            </a:spcBef>
            <a:spcAft>
              <a:spcPts val="0"/>
            </a:spcAft>
            <a:buClrTx/>
            <a:buSzTx/>
            <a:buFontTx/>
            <a:buNone/>
            <a:tabLst/>
            <a:defRPr/>
          </a:pPr>
          <a:r>
            <a:rPr lang="es-ES" sz="1400" b="1">
              <a:solidFill>
                <a:schemeClr val="dk1"/>
              </a:solidFill>
              <a:effectLst/>
              <a:latin typeface="Century Gothic" panose="020B0502020202020204" pitchFamily="34" charset="0"/>
              <a:ea typeface="+mn-ea"/>
              <a:cs typeface="+mn-cs"/>
            </a:rPr>
            <a:t>TRANSPORTE LIMPIO</a:t>
          </a:r>
          <a:endParaRPr lang="es-ES" sz="1400">
            <a:effectLst/>
            <a:latin typeface="Century Gothic" panose="020B0502020202020204" pitchFamily="34" charset="0"/>
          </a:endParaRPr>
        </a:p>
      </xdr:txBody>
    </xdr:sp>
    <xdr:clientData/>
  </xdr:twoCellAnchor>
  <xdr:oneCellAnchor>
    <xdr:from>
      <xdr:col>9</xdr:col>
      <xdr:colOff>256253</xdr:colOff>
      <xdr:row>4</xdr:row>
      <xdr:rowOff>25246</xdr:rowOff>
    </xdr:from>
    <xdr:ext cx="872353" cy="867882"/>
    <xdr:pic>
      <xdr:nvPicPr>
        <xdr:cNvPr id="3" name="Gráfico 2">
          <a:extLst>
            <a:ext uri="{FF2B5EF4-FFF2-40B4-BE49-F238E27FC236}">
              <a16:creationId xmlns:a16="http://schemas.microsoft.com/office/drawing/2014/main" id="{84E367FF-4E2C-4DD1-992C-415B759AD5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5961728" y="749146"/>
          <a:ext cx="872353" cy="867882"/>
        </a:xfrm>
        <a:prstGeom prst="rect">
          <a:avLst/>
        </a:prstGeom>
      </xdr:spPr>
    </xdr:pic>
    <xdr:clientData/>
  </xdr:oneCellAnchor>
  <xdr:twoCellAnchor>
    <xdr:from>
      <xdr:col>17</xdr:col>
      <xdr:colOff>38100</xdr:colOff>
      <xdr:row>2</xdr:row>
      <xdr:rowOff>9525</xdr:rowOff>
    </xdr:from>
    <xdr:to>
      <xdr:col>17</xdr:col>
      <xdr:colOff>398100</xdr:colOff>
      <xdr:row>4</xdr:row>
      <xdr:rowOff>7575</xdr:rowOff>
    </xdr:to>
    <xdr:grpSp>
      <xdr:nvGrpSpPr>
        <xdr:cNvPr id="4" name="Grupo 3">
          <a:hlinkClick xmlns:r="http://schemas.openxmlformats.org/officeDocument/2006/relationships" r:id="rId3"/>
          <a:extLst>
            <a:ext uri="{FF2B5EF4-FFF2-40B4-BE49-F238E27FC236}">
              <a16:creationId xmlns:a16="http://schemas.microsoft.com/office/drawing/2014/main" id="{7721ECDD-C60B-4695-A6CE-A1B442642F76}"/>
            </a:ext>
          </a:extLst>
        </xdr:cNvPr>
        <xdr:cNvGrpSpPr/>
      </xdr:nvGrpSpPr>
      <xdr:grpSpPr>
        <a:xfrm>
          <a:off x="9389918" y="373207"/>
          <a:ext cx="360000" cy="361732"/>
          <a:chOff x="9737213" y="378235"/>
          <a:chExt cx="360000" cy="366759"/>
        </a:xfrm>
      </xdr:grpSpPr>
      <xdr:sp macro="" textlink="">
        <xdr:nvSpPr>
          <xdr:cNvPr id="5" name="Rectángulo 4">
            <a:extLst>
              <a:ext uri="{FF2B5EF4-FFF2-40B4-BE49-F238E27FC236}">
                <a16:creationId xmlns:a16="http://schemas.microsoft.com/office/drawing/2014/main" id="{871AC56B-1F90-BCEA-6A93-E1FE2B4E4E29}"/>
              </a:ext>
            </a:extLst>
          </xdr:cNvPr>
          <xdr:cNvSpPr/>
        </xdr:nvSpPr>
        <xdr:spPr>
          <a:xfrm>
            <a:off x="9737213" y="378235"/>
            <a:ext cx="360000" cy="366759"/>
          </a:xfrm>
          <a:prstGeom prst="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EC" sz="1100"/>
          </a:p>
        </xdr:txBody>
      </xdr:sp>
      <xdr:sp macro="" textlink="">
        <xdr:nvSpPr>
          <xdr:cNvPr id="6" name="Flecha: en U 5">
            <a:extLst>
              <a:ext uri="{FF2B5EF4-FFF2-40B4-BE49-F238E27FC236}">
                <a16:creationId xmlns:a16="http://schemas.microsoft.com/office/drawing/2014/main" id="{7B8C35E1-6D18-2972-854C-25812C76A7C0}"/>
              </a:ext>
            </a:extLst>
          </xdr:cNvPr>
          <xdr:cNvSpPr/>
        </xdr:nvSpPr>
        <xdr:spPr>
          <a:xfrm rot="5400000">
            <a:off x="9787953" y="447656"/>
            <a:ext cx="256120" cy="252000"/>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EC" sz="1100">
              <a:solidFill>
                <a:schemeClr val="tx1"/>
              </a:solidFill>
            </a:endParaRPr>
          </a:p>
        </xdr:txBody>
      </xdr:sp>
    </xdr:grpSp>
    <xdr:clientData/>
  </xdr:twoCellAnchor>
  <xdr:twoCellAnchor>
    <xdr:from>
      <xdr:col>10</xdr:col>
      <xdr:colOff>173181</xdr:colOff>
      <xdr:row>72</xdr:row>
      <xdr:rowOff>51955</xdr:rowOff>
    </xdr:from>
    <xdr:to>
      <xdr:col>16</xdr:col>
      <xdr:colOff>666750</xdr:colOff>
      <xdr:row>81</xdr:row>
      <xdr:rowOff>0</xdr:rowOff>
    </xdr:to>
    <xdr:graphicFrame macro="">
      <xdr:nvGraphicFramePr>
        <xdr:cNvPr id="16" name="Gráfico 15">
          <a:extLst>
            <a:ext uri="{FF2B5EF4-FFF2-40B4-BE49-F238E27FC236}">
              <a16:creationId xmlns:a16="http://schemas.microsoft.com/office/drawing/2014/main" id="{4A2B44FA-4FAF-4D3D-B046-77629A3E0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103910</xdr:colOff>
      <xdr:row>53</xdr:row>
      <xdr:rowOff>95250</xdr:rowOff>
    </xdr:from>
    <xdr:to>
      <xdr:col>6</xdr:col>
      <xdr:colOff>744621</xdr:colOff>
      <xdr:row>57</xdr:row>
      <xdr:rowOff>17318</xdr:rowOff>
    </xdr:to>
    <xdr:pic>
      <xdr:nvPicPr>
        <xdr:cNvPr id="7" name="Imagen 6" descr="icono de vector plano de árboles 5241045 Vector en Vecteezy">
          <a:extLst>
            <a:ext uri="{FF2B5EF4-FFF2-40B4-BE49-F238E27FC236}">
              <a16:creationId xmlns:a16="http://schemas.microsoft.com/office/drawing/2014/main" id="{D43B8EEE-1AF7-4DCA-B281-7E7CEDAD240F}"/>
            </a:ext>
          </a:extLst>
        </xdr:cNvPr>
        <xdr:cNvPicPr>
          <a:picLocks noChangeAspect="1" noChangeArrowheads="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62796" y="11092295"/>
          <a:ext cx="917802" cy="64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86591</xdr:colOff>
      <xdr:row>75</xdr:row>
      <xdr:rowOff>112568</xdr:rowOff>
    </xdr:from>
    <xdr:to>
      <xdr:col>6</xdr:col>
      <xdr:colOff>727302</xdr:colOff>
      <xdr:row>79</xdr:row>
      <xdr:rowOff>34636</xdr:rowOff>
    </xdr:to>
    <xdr:pic>
      <xdr:nvPicPr>
        <xdr:cNvPr id="8" name="Imagen 7" descr="icono de vector plano de árboles 5241045 Vector en Vecteezy">
          <a:extLst>
            <a:ext uri="{FF2B5EF4-FFF2-40B4-BE49-F238E27FC236}">
              <a16:creationId xmlns:a16="http://schemas.microsoft.com/office/drawing/2014/main" id="{10D7556A-1C86-46E4-8D0A-3F8DC774AF35}"/>
            </a:ext>
          </a:extLst>
        </xdr:cNvPr>
        <xdr:cNvPicPr>
          <a:picLocks noChangeAspect="1" noChangeArrowheads="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45477" y="15439159"/>
          <a:ext cx="917802" cy="64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98</xdr:row>
      <xdr:rowOff>147205</xdr:rowOff>
    </xdr:from>
    <xdr:to>
      <xdr:col>6</xdr:col>
      <xdr:colOff>735961</xdr:colOff>
      <xdr:row>102</xdr:row>
      <xdr:rowOff>69273</xdr:rowOff>
    </xdr:to>
    <xdr:pic>
      <xdr:nvPicPr>
        <xdr:cNvPr id="10" name="Imagen 9" descr="icono de vector plano de árboles 5241045 Vector en Vecteezy">
          <a:extLst>
            <a:ext uri="{FF2B5EF4-FFF2-40B4-BE49-F238E27FC236}">
              <a16:creationId xmlns:a16="http://schemas.microsoft.com/office/drawing/2014/main" id="{D4000276-A443-425B-9858-25EB0015D79A}"/>
            </a:ext>
          </a:extLst>
        </xdr:cNvPr>
        <xdr:cNvPicPr>
          <a:picLocks noChangeAspect="1" noChangeArrowheads="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54136" y="20643273"/>
          <a:ext cx="917802" cy="64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121227</xdr:colOff>
      <xdr:row>26</xdr:row>
      <xdr:rowOff>138545</xdr:rowOff>
    </xdr:from>
    <xdr:to>
      <xdr:col>6</xdr:col>
      <xdr:colOff>761938</xdr:colOff>
      <xdr:row>30</xdr:row>
      <xdr:rowOff>60613</xdr:rowOff>
    </xdr:to>
    <xdr:pic>
      <xdr:nvPicPr>
        <xdr:cNvPr id="9" name="Imagen 8" descr="icono de vector plano de árboles 5241045 Vector en Vecteezy">
          <a:extLst>
            <a:ext uri="{FF2B5EF4-FFF2-40B4-BE49-F238E27FC236}">
              <a16:creationId xmlns:a16="http://schemas.microsoft.com/office/drawing/2014/main" id="{6AC3BEBE-D8D5-4926-A3F4-B4FA854FF672}"/>
            </a:ext>
          </a:extLst>
        </xdr:cNvPr>
        <xdr:cNvPicPr>
          <a:picLocks noChangeAspect="1" noChangeArrowheads="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80113" y="5463886"/>
          <a:ext cx="917802" cy="64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23</xdr:row>
      <xdr:rowOff>25977</xdr:rowOff>
    </xdr:from>
    <xdr:to>
      <xdr:col>16</xdr:col>
      <xdr:colOff>681469</xdr:colOff>
      <xdr:row>32</xdr:row>
      <xdr:rowOff>0</xdr:rowOff>
    </xdr:to>
    <xdr:graphicFrame macro="">
      <xdr:nvGraphicFramePr>
        <xdr:cNvPr id="14" name="Gráfico 13">
          <a:extLst>
            <a:ext uri="{FF2B5EF4-FFF2-40B4-BE49-F238E27FC236}">
              <a16:creationId xmlns:a16="http://schemas.microsoft.com/office/drawing/2014/main" id="{7F147404-E4C9-4287-BF07-836D619B3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190500</xdr:colOff>
      <xdr:row>50</xdr:row>
      <xdr:rowOff>17318</xdr:rowOff>
    </xdr:from>
    <xdr:to>
      <xdr:col>16</xdr:col>
      <xdr:colOff>672810</xdr:colOff>
      <xdr:row>58</xdr:row>
      <xdr:rowOff>181841</xdr:rowOff>
    </xdr:to>
    <xdr:graphicFrame macro="">
      <xdr:nvGraphicFramePr>
        <xdr:cNvPr id="15" name="Gráfico 14">
          <a:extLst>
            <a:ext uri="{FF2B5EF4-FFF2-40B4-BE49-F238E27FC236}">
              <a16:creationId xmlns:a16="http://schemas.microsoft.com/office/drawing/2014/main" id="{10FABA2C-2FA5-4596-8F34-6D8EC2DF9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95</xdr:row>
      <xdr:rowOff>25977</xdr:rowOff>
    </xdr:from>
    <xdr:to>
      <xdr:col>16</xdr:col>
      <xdr:colOff>681469</xdr:colOff>
      <xdr:row>103</xdr:row>
      <xdr:rowOff>190499</xdr:rowOff>
    </xdr:to>
    <xdr:graphicFrame macro="">
      <xdr:nvGraphicFramePr>
        <xdr:cNvPr id="17" name="Gráfico 16">
          <a:extLst>
            <a:ext uri="{FF2B5EF4-FFF2-40B4-BE49-F238E27FC236}">
              <a16:creationId xmlns:a16="http://schemas.microsoft.com/office/drawing/2014/main" id="{C6E52409-6825-4B34-A2DB-3E7DCEA47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404813</xdr:colOff>
      <xdr:row>0</xdr:row>
      <xdr:rowOff>271463</xdr:rowOff>
    </xdr:from>
    <xdr:to>
      <xdr:col>1</xdr:col>
      <xdr:colOff>1481138</xdr:colOff>
      <xdr:row>0</xdr:row>
      <xdr:rowOff>1347788</xdr:rowOff>
    </xdr:to>
    <xdr:pic>
      <xdr:nvPicPr>
        <xdr:cNvPr id="36865" name="Picture 1">
          <a:extLst>
            <a:ext uri="{FF2B5EF4-FFF2-40B4-BE49-F238E27FC236}">
              <a16:creationId xmlns:a16="http://schemas.microsoft.com/office/drawing/2014/main" id="{495ACA7B-3229-6812-059C-0A0B884CDC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3013" y="271463"/>
          <a:ext cx="1076325"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404813</xdr:colOff>
      <xdr:row>1</xdr:row>
      <xdr:rowOff>271463</xdr:rowOff>
    </xdr:from>
    <xdr:to>
      <xdr:col>1</xdr:col>
      <xdr:colOff>1481138</xdr:colOff>
      <xdr:row>1</xdr:row>
      <xdr:rowOff>1347788</xdr:rowOff>
    </xdr:to>
    <xdr:pic>
      <xdr:nvPicPr>
        <xdr:cNvPr id="36866" name="Picture 2">
          <a:extLst>
            <a:ext uri="{FF2B5EF4-FFF2-40B4-BE49-F238E27FC236}">
              <a16:creationId xmlns:a16="http://schemas.microsoft.com/office/drawing/2014/main" id="{6E497466-BFEF-8782-FB22-075C5C223C8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3013" y="1890713"/>
          <a:ext cx="1076325"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404813</xdr:colOff>
      <xdr:row>2</xdr:row>
      <xdr:rowOff>509588</xdr:rowOff>
    </xdr:from>
    <xdr:to>
      <xdr:col>1</xdr:col>
      <xdr:colOff>1481138</xdr:colOff>
      <xdr:row>2</xdr:row>
      <xdr:rowOff>1109663</xdr:rowOff>
    </xdr:to>
    <xdr:pic>
      <xdr:nvPicPr>
        <xdr:cNvPr id="36867" name="Picture 3">
          <a:extLst>
            <a:ext uri="{FF2B5EF4-FFF2-40B4-BE49-F238E27FC236}">
              <a16:creationId xmlns:a16="http://schemas.microsoft.com/office/drawing/2014/main" id="{E2961CEA-9F52-AEAD-94B1-B59B3171B42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43013" y="3748088"/>
          <a:ext cx="107632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519113</xdr:colOff>
      <xdr:row>3</xdr:row>
      <xdr:rowOff>271463</xdr:rowOff>
    </xdr:from>
    <xdr:to>
      <xdr:col>1</xdr:col>
      <xdr:colOff>1366838</xdr:colOff>
      <xdr:row>3</xdr:row>
      <xdr:rowOff>1347788</xdr:rowOff>
    </xdr:to>
    <xdr:pic>
      <xdr:nvPicPr>
        <xdr:cNvPr id="36868" name="Picture 4">
          <a:extLst>
            <a:ext uri="{FF2B5EF4-FFF2-40B4-BE49-F238E27FC236}">
              <a16:creationId xmlns:a16="http://schemas.microsoft.com/office/drawing/2014/main" id="{4CC2EEF0-B360-EF5B-7AD8-BC6913C3BCB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57313" y="5129213"/>
          <a:ext cx="847725"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90488</xdr:colOff>
      <xdr:row>5</xdr:row>
      <xdr:rowOff>119063</xdr:rowOff>
    </xdr:from>
    <xdr:to>
      <xdr:col>3</xdr:col>
      <xdr:colOff>2557463</xdr:colOff>
      <xdr:row>5</xdr:row>
      <xdr:rowOff>1919288</xdr:rowOff>
    </xdr:to>
    <xdr:pic>
      <xdr:nvPicPr>
        <xdr:cNvPr id="36869" name="Picture 5">
          <a:extLst>
            <a:ext uri="{FF2B5EF4-FFF2-40B4-BE49-F238E27FC236}">
              <a16:creationId xmlns:a16="http://schemas.microsoft.com/office/drawing/2014/main" id="{247780BD-CE1D-0775-285D-6E6596D8A58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52838" y="6777038"/>
          <a:ext cx="2466975"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423863</xdr:colOff>
      <xdr:row>6</xdr:row>
      <xdr:rowOff>119063</xdr:rowOff>
    </xdr:from>
    <xdr:to>
      <xdr:col>3</xdr:col>
      <xdr:colOff>2224088</xdr:colOff>
      <xdr:row>6</xdr:row>
      <xdr:rowOff>1919288</xdr:rowOff>
    </xdr:to>
    <xdr:pic>
      <xdr:nvPicPr>
        <xdr:cNvPr id="36870" name="Picture 6">
          <a:extLst>
            <a:ext uri="{FF2B5EF4-FFF2-40B4-BE49-F238E27FC236}">
              <a16:creationId xmlns:a16="http://schemas.microsoft.com/office/drawing/2014/main" id="{C2200329-A84E-BEFE-CE30-9ACAAF2DBCB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86213" y="8815388"/>
          <a:ext cx="1800225"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581025</xdr:colOff>
      <xdr:row>8</xdr:row>
      <xdr:rowOff>481013</xdr:rowOff>
    </xdr:from>
    <xdr:to>
      <xdr:col>5</xdr:col>
      <xdr:colOff>2066925</xdr:colOff>
      <xdr:row>8</xdr:row>
      <xdr:rowOff>1557338</xdr:rowOff>
    </xdr:to>
    <xdr:pic>
      <xdr:nvPicPr>
        <xdr:cNvPr id="36871" name="Picture 7">
          <a:extLst>
            <a:ext uri="{FF2B5EF4-FFF2-40B4-BE49-F238E27FC236}">
              <a16:creationId xmlns:a16="http://schemas.microsoft.com/office/drawing/2014/main" id="{C08BFB77-DD23-D9DC-23A3-D4EC4F7624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29525" y="11396663"/>
          <a:ext cx="1485900"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785813</xdr:colOff>
      <xdr:row>9</xdr:row>
      <xdr:rowOff>481013</xdr:rowOff>
    </xdr:from>
    <xdr:to>
      <xdr:col>5</xdr:col>
      <xdr:colOff>1862138</xdr:colOff>
      <xdr:row>9</xdr:row>
      <xdr:rowOff>1557338</xdr:rowOff>
    </xdr:to>
    <xdr:pic>
      <xdr:nvPicPr>
        <xdr:cNvPr id="36872" name="Picture 8">
          <a:extLst>
            <a:ext uri="{FF2B5EF4-FFF2-40B4-BE49-F238E27FC236}">
              <a16:creationId xmlns:a16="http://schemas.microsoft.com/office/drawing/2014/main" id="{3FAEE6B9-DDAB-95B0-5270-B73728FD7A6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834313" y="13435013"/>
          <a:ext cx="1076325"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190500</xdr:colOff>
      <xdr:row>3</xdr:row>
      <xdr:rowOff>47626</xdr:rowOff>
    </xdr:from>
    <xdr:to>
      <xdr:col>4</xdr:col>
      <xdr:colOff>771526</xdr:colOff>
      <xdr:row>9</xdr:row>
      <xdr:rowOff>133350</xdr:rowOff>
    </xdr:to>
    <xdr:sp macro="" textlink="">
      <xdr:nvSpPr>
        <xdr:cNvPr id="2" name="CuadroTexto 1">
          <a:extLst>
            <a:ext uri="{FF2B5EF4-FFF2-40B4-BE49-F238E27FC236}">
              <a16:creationId xmlns:a16="http://schemas.microsoft.com/office/drawing/2014/main" id="{0E78D0EC-7570-B311-8AF2-18DF9D49FDB1}"/>
            </a:ext>
          </a:extLst>
        </xdr:cNvPr>
        <xdr:cNvSpPr txBox="1"/>
      </xdr:nvSpPr>
      <xdr:spPr>
        <a:xfrm>
          <a:off x="2066925" y="590551"/>
          <a:ext cx="1419226" cy="11715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3200" b="1">
              <a:solidFill>
                <a:schemeClr val="dk1"/>
              </a:solidFill>
              <a:effectLst/>
              <a:latin typeface="Century Gothic" panose="020B0502020202020204" pitchFamily="34" charset="0"/>
              <a:ea typeface="+mn-ea"/>
              <a:cs typeface="+mn-cs"/>
            </a:rPr>
            <a:t>01</a:t>
          </a:r>
        </a:p>
        <a:p>
          <a:pPr marL="0" marR="0" lvl="0" indent="0" algn="ctr" defTabSz="914400" eaLnBrk="1" fontAlgn="auto" latinLnBrk="0" hangingPunct="1">
            <a:lnSpc>
              <a:spcPct val="100000"/>
            </a:lnSpc>
            <a:spcBef>
              <a:spcPts val="0"/>
            </a:spcBef>
            <a:spcAft>
              <a:spcPts val="0"/>
            </a:spcAft>
            <a:buClrTx/>
            <a:buSzTx/>
            <a:buFontTx/>
            <a:buNone/>
            <a:tabLst/>
            <a:defRPr/>
          </a:pPr>
          <a:r>
            <a:rPr lang="es-ES" sz="1400" b="1">
              <a:solidFill>
                <a:schemeClr val="dk1"/>
              </a:solidFill>
              <a:effectLst/>
              <a:latin typeface="Century Gothic" panose="020B0502020202020204" pitchFamily="34" charset="0"/>
              <a:ea typeface="+mn-ea"/>
              <a:cs typeface="+mn-cs"/>
            </a:rPr>
            <a:t>EDIFICIOS ECOLÓGICOS</a:t>
          </a:r>
          <a:endParaRPr lang="es-ES" sz="1400">
            <a:effectLst/>
            <a:latin typeface="Century Gothic" panose="020B0502020202020204" pitchFamily="34" charset="0"/>
          </a:endParaRPr>
        </a:p>
      </xdr:txBody>
    </xdr:sp>
    <xdr:clientData/>
  </xdr:twoCellAnchor>
  <xdr:twoCellAnchor editAs="oneCell">
    <xdr:from>
      <xdr:col>9</xdr:col>
      <xdr:colOff>209550</xdr:colOff>
      <xdr:row>3</xdr:row>
      <xdr:rowOff>161925</xdr:rowOff>
    </xdr:from>
    <xdr:to>
      <xdr:col>11</xdr:col>
      <xdr:colOff>44450</xdr:colOff>
      <xdr:row>8</xdr:row>
      <xdr:rowOff>133350</xdr:rowOff>
    </xdr:to>
    <xdr:pic>
      <xdr:nvPicPr>
        <xdr:cNvPr id="5" name="Gráfico 4" descr="Ciudad contorno">
          <a:extLst>
            <a:ext uri="{FF2B5EF4-FFF2-40B4-BE49-F238E27FC236}">
              <a16:creationId xmlns:a16="http://schemas.microsoft.com/office/drawing/2014/main" id="{A623178A-D3B3-4F4D-8BA4-C0413BEBBE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915025" y="704850"/>
          <a:ext cx="876300" cy="876300"/>
        </a:xfrm>
        <a:prstGeom prst="rect">
          <a:avLst/>
        </a:prstGeom>
      </xdr:spPr>
    </xdr:pic>
    <xdr:clientData/>
  </xdr:twoCellAnchor>
  <xdr:twoCellAnchor>
    <xdr:from>
      <xdr:col>16</xdr:col>
      <xdr:colOff>665726</xdr:colOff>
      <xdr:row>1</xdr:row>
      <xdr:rowOff>174113</xdr:rowOff>
    </xdr:from>
    <xdr:to>
      <xdr:col>17</xdr:col>
      <xdr:colOff>187526</xdr:colOff>
      <xdr:row>3</xdr:row>
      <xdr:rowOff>178919</xdr:rowOff>
    </xdr:to>
    <xdr:grpSp>
      <xdr:nvGrpSpPr>
        <xdr:cNvPr id="13" name="Grupo 12">
          <a:hlinkClick xmlns:r="http://schemas.openxmlformats.org/officeDocument/2006/relationships" r:id="rId3"/>
          <a:extLst>
            <a:ext uri="{FF2B5EF4-FFF2-40B4-BE49-F238E27FC236}">
              <a16:creationId xmlns:a16="http://schemas.microsoft.com/office/drawing/2014/main" id="{CD39DCB7-0B53-A3E7-271D-FB3D4847ACA7}"/>
            </a:ext>
          </a:extLst>
        </xdr:cNvPr>
        <xdr:cNvGrpSpPr/>
      </xdr:nvGrpSpPr>
      <xdr:grpSpPr>
        <a:xfrm>
          <a:off x="9809726" y="355954"/>
          <a:ext cx="361732" cy="368488"/>
          <a:chOff x="9499982" y="355888"/>
          <a:chExt cx="361599" cy="368355"/>
        </a:xfrm>
      </xdr:grpSpPr>
      <xdr:sp macro="" textlink="">
        <xdr:nvSpPr>
          <xdr:cNvPr id="11" name="Rectángulo 10">
            <a:extLst>
              <a:ext uri="{FF2B5EF4-FFF2-40B4-BE49-F238E27FC236}">
                <a16:creationId xmlns:a16="http://schemas.microsoft.com/office/drawing/2014/main" id="{ABD558BB-400E-24D1-827D-7CBD65DCDD40}"/>
              </a:ext>
            </a:extLst>
          </xdr:cNvPr>
          <xdr:cNvSpPr/>
        </xdr:nvSpPr>
        <xdr:spPr>
          <a:xfrm>
            <a:off x="9499982" y="355888"/>
            <a:ext cx="361599" cy="368355"/>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s-EC" sz="1100"/>
          </a:p>
        </xdr:txBody>
      </xdr:sp>
      <xdr:sp macro="" textlink="">
        <xdr:nvSpPr>
          <xdr:cNvPr id="12" name="Flecha: en U 11">
            <a:extLst>
              <a:ext uri="{FF2B5EF4-FFF2-40B4-BE49-F238E27FC236}">
                <a16:creationId xmlns:a16="http://schemas.microsoft.com/office/drawing/2014/main" id="{1E46301E-7416-104E-5FFB-E324C2D0BCE5}"/>
              </a:ext>
            </a:extLst>
          </xdr:cNvPr>
          <xdr:cNvSpPr/>
        </xdr:nvSpPr>
        <xdr:spPr>
          <a:xfrm rot="5400000">
            <a:off x="9548157" y="421948"/>
            <a:ext cx="260857" cy="253862"/>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EC" sz="1100">
              <a:solidFill>
                <a:schemeClr val="tx1"/>
              </a:solidFill>
            </a:endParaRPr>
          </a:p>
        </xdr:txBody>
      </xdr:sp>
    </xdr:grpSp>
    <xdr:clientData/>
  </xdr:twoCellAnchor>
  <xdr:twoCellAnchor editAs="oneCell">
    <xdr:from>
      <xdr:col>11</xdr:col>
      <xdr:colOff>103910</xdr:colOff>
      <xdr:row>18</xdr:row>
      <xdr:rowOff>110837</xdr:rowOff>
    </xdr:from>
    <xdr:to>
      <xdr:col>13</xdr:col>
      <xdr:colOff>107701</xdr:colOff>
      <xdr:row>23</xdr:row>
      <xdr:rowOff>60614</xdr:rowOff>
    </xdr:to>
    <xdr:pic>
      <xdr:nvPicPr>
        <xdr:cNvPr id="7" name="Imagen 6" descr="icono de vector plano de árboles 5241045 Vector en Vecteezy">
          <a:extLst>
            <a:ext uri="{FF2B5EF4-FFF2-40B4-BE49-F238E27FC236}">
              <a16:creationId xmlns:a16="http://schemas.microsoft.com/office/drawing/2014/main" id="{F67C84B5-52F0-4968-BBE4-9A08A27ECD66}"/>
            </a:ext>
          </a:extLst>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6858001" y="4016087"/>
          <a:ext cx="1036532" cy="737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129886</xdr:colOff>
      <xdr:row>43</xdr:row>
      <xdr:rowOff>69273</xdr:rowOff>
    </xdr:from>
    <xdr:to>
      <xdr:col>7</xdr:col>
      <xdr:colOff>49395</xdr:colOff>
      <xdr:row>47</xdr:row>
      <xdr:rowOff>82838</xdr:rowOff>
    </xdr:to>
    <xdr:pic>
      <xdr:nvPicPr>
        <xdr:cNvPr id="9" name="Imagen 8" descr="icono de vector plano de árboles 5241045 Vector en Vecteezy">
          <a:extLst>
            <a:ext uri="{FF2B5EF4-FFF2-40B4-BE49-F238E27FC236}">
              <a16:creationId xmlns:a16="http://schemas.microsoft.com/office/drawing/2014/main" id="{25E37A6A-52AF-45C0-A2A7-131133971DFA}"/>
            </a:ext>
          </a:extLst>
        </xdr:cNvPr>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88772" y="9585614"/>
          <a:ext cx="1039707" cy="737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103909</xdr:colOff>
      <xdr:row>58</xdr:row>
      <xdr:rowOff>84860</xdr:rowOff>
    </xdr:from>
    <xdr:to>
      <xdr:col>13</xdr:col>
      <xdr:colOff>104525</xdr:colOff>
      <xdr:row>63</xdr:row>
      <xdr:rowOff>37812</xdr:rowOff>
    </xdr:to>
    <xdr:pic>
      <xdr:nvPicPr>
        <xdr:cNvPr id="21" name="Imagen 20" descr="icono de vector plano de árboles 5241045 Vector en Vecteezy">
          <a:extLst>
            <a:ext uri="{FF2B5EF4-FFF2-40B4-BE49-F238E27FC236}">
              <a16:creationId xmlns:a16="http://schemas.microsoft.com/office/drawing/2014/main" id="{142E2876-86CD-4EA8-9D5B-18D52741C800}"/>
            </a:ext>
          </a:extLst>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6858000" y="13238019"/>
          <a:ext cx="1039707" cy="74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103909</xdr:colOff>
      <xdr:row>98</xdr:row>
      <xdr:rowOff>0</xdr:rowOff>
    </xdr:from>
    <xdr:to>
      <xdr:col>13</xdr:col>
      <xdr:colOff>107700</xdr:colOff>
      <xdr:row>101</xdr:row>
      <xdr:rowOff>45893</xdr:rowOff>
    </xdr:to>
    <xdr:pic>
      <xdr:nvPicPr>
        <xdr:cNvPr id="23" name="Imagen 22" descr="icono de vector plano de árboles 5241045 Vector en Vecteezy">
          <a:extLst>
            <a:ext uri="{FF2B5EF4-FFF2-40B4-BE49-F238E27FC236}">
              <a16:creationId xmlns:a16="http://schemas.microsoft.com/office/drawing/2014/main" id="{20DF9B01-CC97-49EE-8EB5-162811F876EA}"/>
            </a:ext>
          </a:extLst>
        </xdr:cNvPr>
        <xdr:cNvPicPr>
          <a:picLocks noChangeAspect="1" noChangeArrowheads="1"/>
        </xdr:cNvPicPr>
      </xdr:nvPicPr>
      <xdr:blipFill rotWithShape="1">
        <a:blip xmlns:r="http://schemas.openxmlformats.org/officeDocument/2006/relationships" r:embed="rId8" cstate="print">
          <a:extLst>
            <a:ext uri="{BEBA8EAE-BF5A-486C-A8C5-ECC9F3942E4B}">
              <a14:imgProps xmlns:a14="http://schemas.microsoft.com/office/drawing/2010/main">
                <a14:imgLayer r:embed="rId9">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6858000" y="21812250"/>
          <a:ext cx="1039707" cy="744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190499</xdr:colOff>
      <xdr:row>41</xdr:row>
      <xdr:rowOff>173181</xdr:rowOff>
    </xdr:from>
    <xdr:to>
      <xdr:col>16</xdr:col>
      <xdr:colOff>822612</xdr:colOff>
      <xdr:row>49</xdr:row>
      <xdr:rowOff>8659</xdr:rowOff>
    </xdr:to>
    <xdr:graphicFrame macro="">
      <xdr:nvGraphicFramePr>
        <xdr:cNvPr id="3" name="Gráfico 2">
          <a:extLst>
            <a:ext uri="{FF2B5EF4-FFF2-40B4-BE49-F238E27FC236}">
              <a16:creationId xmlns:a16="http://schemas.microsoft.com/office/drawing/2014/main" id="{123798C8-099B-4929-96A8-D2067A607E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34636</xdr:colOff>
          <xdr:row>83</xdr:row>
          <xdr:rowOff>124489</xdr:rowOff>
        </xdr:from>
        <xdr:to>
          <xdr:col>8</xdr:col>
          <xdr:colOff>54687</xdr:colOff>
          <xdr:row>88</xdr:row>
          <xdr:rowOff>144818</xdr:rowOff>
        </xdr:to>
        <xdr:pic>
          <xdr:nvPicPr>
            <xdr:cNvPr id="6" name="Imagen 5" descr="icono de vector plano de árboles 5241045 Vector en Vecteezy">
              <a:extLst>
                <a:ext uri="{FF2B5EF4-FFF2-40B4-BE49-F238E27FC236}">
                  <a16:creationId xmlns:a16="http://schemas.microsoft.com/office/drawing/2014/main" id="{455C2ED3-4BA5-4A36-ADAE-123EAA1E83C4}"/>
                </a:ext>
              </a:extLst>
            </xdr:cNvPr>
            <xdr:cNvPicPr>
              <a:picLocks noChangeAspect="1" noChangeArrowheads="1"/>
              <a:extLst>
                <a:ext uri="{84589F7E-364E-4C9E-8A38-B11213B215E9}">
                  <a14:cameraTool cellRange="Kutools_PDL2_1" spid="_x0000_s2087"/>
                </a:ext>
              </a:extLst>
            </xdr:cNvPicPr>
          </xdr:nvPicPr>
          <xdr:blipFill rotWithShape="1">
            <a:blip xmlns:r="http://schemas.openxmlformats.org/officeDocument/2006/relationships" r:embed="rId11"/>
            <a:srcRect l="5377" t="22077" r="10557" b="22844"/>
            <a:stretch>
              <a:fillRect/>
            </a:stretch>
          </xdr:blipFill>
          <xdr:spPr bwMode="auto">
            <a:xfrm>
              <a:off x="3593522" y="20655194"/>
              <a:ext cx="1336233" cy="97282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47624</xdr:colOff>
      <xdr:row>38</xdr:row>
      <xdr:rowOff>76199</xdr:rowOff>
    </xdr:from>
    <xdr:to>
      <xdr:col>1</xdr:col>
      <xdr:colOff>1530196</xdr:colOff>
      <xdr:row>38</xdr:row>
      <xdr:rowOff>1156199</xdr:rowOff>
    </xdr:to>
    <xdr:pic>
      <xdr:nvPicPr>
        <xdr:cNvPr id="2" name="Imagen 1" descr="icono de vector plano de árboles 5241045 Vector en Vecteezy">
          <a:extLst>
            <a:ext uri="{FF2B5EF4-FFF2-40B4-BE49-F238E27FC236}">
              <a16:creationId xmlns:a16="http://schemas.microsoft.com/office/drawing/2014/main" id="{46059A7A-9CED-4AEC-99DE-DBFDADC3D94F}"/>
            </a:ext>
          </a:extLst>
        </xdr:cNvPr>
        <xdr:cNvPicPr>
          <a:picLocks noChangeAspect="1" noChangeArrowheads="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2009774" y="10382249"/>
          <a:ext cx="1482572"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171449</xdr:colOff>
      <xdr:row>39</xdr:row>
      <xdr:rowOff>57149</xdr:rowOff>
    </xdr:from>
    <xdr:to>
      <xdr:col>1</xdr:col>
      <xdr:colOff>1251449</xdr:colOff>
      <xdr:row>39</xdr:row>
      <xdr:rowOff>1137149</xdr:rowOff>
    </xdr:to>
    <xdr:pic>
      <xdr:nvPicPr>
        <xdr:cNvPr id="6" name="Imagen 5">
          <a:extLst>
            <a:ext uri="{FF2B5EF4-FFF2-40B4-BE49-F238E27FC236}">
              <a16:creationId xmlns:a16="http://schemas.microsoft.com/office/drawing/2014/main" id="{73E1EC22-50DB-9D92-C8F2-68EFB399D4A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33599" y="12401549"/>
          <a:ext cx="1080000" cy="108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190500</xdr:colOff>
      <xdr:row>3</xdr:row>
      <xdr:rowOff>47626</xdr:rowOff>
    </xdr:from>
    <xdr:to>
      <xdr:col>4</xdr:col>
      <xdr:colOff>771526</xdr:colOff>
      <xdr:row>9</xdr:row>
      <xdr:rowOff>133350</xdr:rowOff>
    </xdr:to>
    <xdr:sp macro="" textlink="">
      <xdr:nvSpPr>
        <xdr:cNvPr id="2" name="CuadroTexto 1">
          <a:extLst>
            <a:ext uri="{FF2B5EF4-FFF2-40B4-BE49-F238E27FC236}">
              <a16:creationId xmlns:a16="http://schemas.microsoft.com/office/drawing/2014/main" id="{AF1290FA-A0E5-4F84-9F83-FA29313F4510}"/>
            </a:ext>
          </a:extLst>
        </xdr:cNvPr>
        <xdr:cNvSpPr txBox="1"/>
      </xdr:nvSpPr>
      <xdr:spPr>
        <a:xfrm>
          <a:off x="2066925" y="590551"/>
          <a:ext cx="1419226" cy="11715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3200" b="1">
              <a:solidFill>
                <a:schemeClr val="dk1"/>
              </a:solidFill>
              <a:effectLst/>
              <a:latin typeface="Century Gothic" panose="020B0502020202020204" pitchFamily="34" charset="0"/>
              <a:ea typeface="+mn-ea"/>
              <a:cs typeface="+mn-cs"/>
            </a:rPr>
            <a:t>02</a:t>
          </a:r>
        </a:p>
        <a:p>
          <a:pPr marL="0" marR="0" lvl="0" indent="0" algn="ctr" defTabSz="914400" eaLnBrk="1" fontAlgn="auto" latinLnBrk="0" hangingPunct="1">
            <a:lnSpc>
              <a:spcPct val="100000"/>
            </a:lnSpc>
            <a:spcBef>
              <a:spcPts val="0"/>
            </a:spcBef>
            <a:spcAft>
              <a:spcPts val="0"/>
            </a:spcAft>
            <a:buClrTx/>
            <a:buSzTx/>
            <a:buFontTx/>
            <a:buNone/>
            <a:tabLst/>
            <a:defRPr/>
          </a:pPr>
          <a:r>
            <a:rPr lang="es-ES" sz="1400" b="1">
              <a:solidFill>
                <a:schemeClr val="dk1"/>
              </a:solidFill>
              <a:effectLst/>
              <a:latin typeface="Century Gothic" panose="020B0502020202020204" pitchFamily="34" charset="0"/>
              <a:ea typeface="+mn-ea"/>
              <a:cs typeface="+mn-cs"/>
            </a:rPr>
            <a:t>EFICIENCIA ENERGÉTICA</a:t>
          </a:r>
          <a:endParaRPr lang="es-ES" sz="1400">
            <a:effectLst/>
            <a:latin typeface="Century Gothic" panose="020B0502020202020204" pitchFamily="34" charset="0"/>
          </a:endParaRPr>
        </a:p>
      </xdr:txBody>
    </xdr:sp>
    <xdr:clientData/>
  </xdr:twoCellAnchor>
  <xdr:twoCellAnchor editAs="oneCell">
    <xdr:from>
      <xdr:col>10</xdr:col>
      <xdr:colOff>161925</xdr:colOff>
      <xdr:row>4</xdr:row>
      <xdr:rowOff>19050</xdr:rowOff>
    </xdr:from>
    <xdr:to>
      <xdr:col>12</xdr:col>
      <xdr:colOff>1842</xdr:colOff>
      <xdr:row>8</xdr:row>
      <xdr:rowOff>171450</xdr:rowOff>
    </xdr:to>
    <xdr:pic>
      <xdr:nvPicPr>
        <xdr:cNvPr id="3" name="Gráfico 2">
          <a:extLst>
            <a:ext uri="{FF2B5EF4-FFF2-40B4-BE49-F238E27FC236}">
              <a16:creationId xmlns:a16="http://schemas.microsoft.com/office/drawing/2014/main" id="{7092619D-6E57-49B9-9675-AF0DC60EE0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5867400" y="742950"/>
          <a:ext cx="876300" cy="876300"/>
        </a:xfrm>
        <a:prstGeom prst="rect">
          <a:avLst/>
        </a:prstGeom>
      </xdr:spPr>
    </xdr:pic>
    <xdr:clientData/>
  </xdr:twoCellAnchor>
  <xdr:twoCellAnchor>
    <xdr:from>
      <xdr:col>16</xdr:col>
      <xdr:colOff>790575</xdr:colOff>
      <xdr:row>2</xdr:row>
      <xdr:rowOff>9525</xdr:rowOff>
    </xdr:from>
    <xdr:to>
      <xdr:col>17</xdr:col>
      <xdr:colOff>312375</xdr:colOff>
      <xdr:row>4</xdr:row>
      <xdr:rowOff>14332</xdr:rowOff>
    </xdr:to>
    <xdr:grpSp>
      <xdr:nvGrpSpPr>
        <xdr:cNvPr id="7" name="Grupo 6">
          <a:hlinkClick xmlns:r="http://schemas.openxmlformats.org/officeDocument/2006/relationships" r:id="rId3"/>
          <a:extLst>
            <a:ext uri="{FF2B5EF4-FFF2-40B4-BE49-F238E27FC236}">
              <a16:creationId xmlns:a16="http://schemas.microsoft.com/office/drawing/2014/main" id="{10DB8B21-6EB0-4C22-BA45-1597A15BB50F}"/>
            </a:ext>
          </a:extLst>
        </xdr:cNvPr>
        <xdr:cNvGrpSpPr/>
      </xdr:nvGrpSpPr>
      <xdr:grpSpPr>
        <a:xfrm>
          <a:off x="9733684" y="373207"/>
          <a:ext cx="311509" cy="368489"/>
          <a:chOff x="9601200" y="370114"/>
          <a:chExt cx="358639" cy="365397"/>
        </a:xfrm>
      </xdr:grpSpPr>
      <xdr:sp macro="" textlink="">
        <xdr:nvSpPr>
          <xdr:cNvPr id="5" name="Rectángulo 4">
            <a:extLst>
              <a:ext uri="{FF2B5EF4-FFF2-40B4-BE49-F238E27FC236}">
                <a16:creationId xmlns:a16="http://schemas.microsoft.com/office/drawing/2014/main" id="{5F84A64C-63CD-5A56-2D23-F5096B9EBCE9}"/>
              </a:ext>
            </a:extLst>
          </xdr:cNvPr>
          <xdr:cNvSpPr/>
        </xdr:nvSpPr>
        <xdr:spPr>
          <a:xfrm>
            <a:off x="9601200" y="370114"/>
            <a:ext cx="358639" cy="365397"/>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es-EC" sz="1100"/>
          </a:p>
        </xdr:txBody>
      </xdr:sp>
      <xdr:sp macro="" textlink="">
        <xdr:nvSpPr>
          <xdr:cNvPr id="6" name="Flecha: en U 5">
            <a:extLst>
              <a:ext uri="{FF2B5EF4-FFF2-40B4-BE49-F238E27FC236}">
                <a16:creationId xmlns:a16="http://schemas.microsoft.com/office/drawing/2014/main" id="{34380D7A-50DE-0982-A17D-AC55910306BF}"/>
              </a:ext>
            </a:extLst>
          </xdr:cNvPr>
          <xdr:cNvSpPr/>
        </xdr:nvSpPr>
        <xdr:spPr>
          <a:xfrm rot="5400000">
            <a:off x="9648960" y="435663"/>
            <a:ext cx="258762" cy="251784"/>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EC" sz="1100">
              <a:solidFill>
                <a:schemeClr val="tx1"/>
              </a:solidFill>
            </a:endParaRPr>
          </a:p>
        </xdr:txBody>
      </xdr:sp>
    </xdr:grpSp>
    <xdr:clientData/>
  </xdr:twoCellAnchor>
  <xdr:twoCellAnchor editAs="oneCell">
    <xdr:from>
      <xdr:col>7</xdr:col>
      <xdr:colOff>101601</xdr:colOff>
      <xdr:row>15</xdr:row>
      <xdr:rowOff>29153</xdr:rowOff>
    </xdr:from>
    <xdr:to>
      <xdr:col>7</xdr:col>
      <xdr:colOff>540039</xdr:colOff>
      <xdr:row>18</xdr:row>
      <xdr:rowOff>9526</xdr:rowOff>
    </xdr:to>
    <xdr:pic>
      <xdr:nvPicPr>
        <xdr:cNvPr id="14" name="Imagen 13">
          <a:extLst>
            <a:ext uri="{FF2B5EF4-FFF2-40B4-BE49-F238E27FC236}">
              <a16:creationId xmlns:a16="http://schemas.microsoft.com/office/drawing/2014/main" id="{D1D39A23-6F54-4334-3390-6AC65B9525D5}"/>
            </a:ext>
          </a:extLst>
        </xdr:cNvPr>
        <xdr:cNvPicPr>
          <a:picLocks noChangeAspect="1"/>
        </xdr:cNvPicPr>
      </xdr:nvPicPr>
      <xdr:blipFill>
        <a:blip xmlns:r="http://schemas.openxmlformats.org/officeDocument/2006/relationships" r:embed="rId4" cstate="print">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a:xfrm>
          <a:off x="4361874" y="3614017"/>
          <a:ext cx="438438" cy="456623"/>
        </a:xfrm>
        <a:prstGeom prst="rect">
          <a:avLst/>
        </a:prstGeom>
      </xdr:spPr>
    </xdr:pic>
    <xdr:clientData/>
  </xdr:twoCellAnchor>
  <xdr:oneCellAnchor>
    <xdr:from>
      <xdr:col>7</xdr:col>
      <xdr:colOff>155865</xdr:colOff>
      <xdr:row>70</xdr:row>
      <xdr:rowOff>17319</xdr:rowOff>
    </xdr:from>
    <xdr:ext cx="441613" cy="441613"/>
    <xdr:pic>
      <xdr:nvPicPr>
        <xdr:cNvPr id="21" name="Imagen 20">
          <a:extLst>
            <a:ext uri="{FF2B5EF4-FFF2-40B4-BE49-F238E27FC236}">
              <a16:creationId xmlns:a16="http://schemas.microsoft.com/office/drawing/2014/main" id="{18C3270A-7310-4C26-9D38-B61826D53AEC}"/>
            </a:ext>
          </a:extLst>
        </xdr:cNvPr>
        <xdr:cNvPicPr>
          <a:picLocks noChangeAspect="1"/>
        </xdr:cNvPicPr>
      </xdr:nvPicPr>
      <xdr:blipFill>
        <a:blip xmlns:r="http://schemas.openxmlformats.org/officeDocument/2006/relationships" r:embed="rId5" cstate="print">
          <a:duotone>
            <a:schemeClr val="accent5">
              <a:shade val="45000"/>
              <a:satMod val="135000"/>
            </a:schemeClr>
            <a:prstClr val="white"/>
          </a:duotone>
          <a:extLst>
            <a:ext uri="{28A0092B-C50C-407E-A947-70E740481C1C}">
              <a14:useLocalDpi xmlns:a14="http://schemas.microsoft.com/office/drawing/2010/main" val="0"/>
            </a:ext>
          </a:extLst>
        </a:blip>
        <a:srcRect/>
        <a:stretch/>
      </xdr:blipFill>
      <xdr:spPr>
        <a:xfrm>
          <a:off x="3991842" y="12547024"/>
          <a:ext cx="441613" cy="441613"/>
        </a:xfrm>
        <a:prstGeom prst="rect">
          <a:avLst/>
        </a:prstGeom>
      </xdr:spPr>
    </xdr:pic>
    <xdr:clientData/>
  </xdr:oneCellAnchor>
  <xdr:oneCellAnchor>
    <xdr:from>
      <xdr:col>7</xdr:col>
      <xdr:colOff>129888</xdr:colOff>
      <xdr:row>96</xdr:row>
      <xdr:rowOff>69274</xdr:rowOff>
    </xdr:from>
    <xdr:ext cx="415635" cy="415635"/>
    <xdr:pic>
      <xdr:nvPicPr>
        <xdr:cNvPr id="26" name="Imagen 25">
          <a:extLst>
            <a:ext uri="{FF2B5EF4-FFF2-40B4-BE49-F238E27FC236}">
              <a16:creationId xmlns:a16="http://schemas.microsoft.com/office/drawing/2014/main" id="{45BE7387-12DF-41CC-8F5C-1661A2CE9387}"/>
            </a:ext>
          </a:extLst>
        </xdr:cNvPr>
        <xdr:cNvPicPr>
          <a:picLocks noChangeAspect="1"/>
        </xdr:cNvPicPr>
      </xdr:nvPicPr>
      <xdr:blipFill>
        <a:blip xmlns:r="http://schemas.openxmlformats.org/officeDocument/2006/relationships" r:embed="rId6" cstate="print">
          <a:duotone>
            <a:schemeClr val="accent5">
              <a:shade val="45000"/>
              <a:satMod val="135000"/>
            </a:schemeClr>
            <a:prstClr val="white"/>
          </a:duotone>
          <a:extLst>
            <a:ext uri="{28A0092B-C50C-407E-A947-70E740481C1C}">
              <a14:useLocalDpi xmlns:a14="http://schemas.microsoft.com/office/drawing/2010/main" val="0"/>
            </a:ext>
          </a:extLst>
        </a:blip>
        <a:srcRect/>
        <a:stretch/>
      </xdr:blipFill>
      <xdr:spPr>
        <a:xfrm>
          <a:off x="4390161" y="22401069"/>
          <a:ext cx="415635" cy="415635"/>
        </a:xfrm>
        <a:prstGeom prst="rect">
          <a:avLst/>
        </a:prstGeom>
      </xdr:spPr>
    </xdr:pic>
    <xdr:clientData/>
  </xdr:oneCellAnchor>
  <xdr:twoCellAnchor editAs="oneCell">
    <xdr:from>
      <xdr:col>5</xdr:col>
      <xdr:colOff>92075</xdr:colOff>
      <xdr:row>32</xdr:row>
      <xdr:rowOff>48781</xdr:rowOff>
    </xdr:from>
    <xdr:to>
      <xdr:col>7</xdr:col>
      <xdr:colOff>497759</xdr:colOff>
      <xdr:row>36</xdr:row>
      <xdr:rowOff>104775</xdr:rowOff>
    </xdr:to>
    <xdr:pic>
      <xdr:nvPicPr>
        <xdr:cNvPr id="10" name="Imagen 9" descr="icono de vector plano de árboles 5241045 Vector en Vecteezy">
          <a:extLst>
            <a:ext uri="{FF2B5EF4-FFF2-40B4-BE49-F238E27FC236}">
              <a16:creationId xmlns:a16="http://schemas.microsoft.com/office/drawing/2014/main" id="{F30C2354-5AFB-FE9A-2914-F9B9DEC690FC}"/>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50961" y="6534440"/>
          <a:ext cx="1107071" cy="777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95251</xdr:colOff>
      <xdr:row>58</xdr:row>
      <xdr:rowOff>51955</xdr:rowOff>
    </xdr:from>
    <xdr:to>
      <xdr:col>7</xdr:col>
      <xdr:colOff>507285</xdr:colOff>
      <xdr:row>62</xdr:row>
      <xdr:rowOff>101600</xdr:rowOff>
    </xdr:to>
    <xdr:pic>
      <xdr:nvPicPr>
        <xdr:cNvPr id="13" name="Imagen 12" descr="icono de vector plano de árboles 5241045 Vector en Vecteezy">
          <a:extLst>
            <a:ext uri="{FF2B5EF4-FFF2-40B4-BE49-F238E27FC236}">
              <a16:creationId xmlns:a16="http://schemas.microsoft.com/office/drawing/2014/main" id="{160B4A3D-CF9E-4AED-A183-0EE434EF1D71}"/>
            </a:ext>
          </a:extLst>
        </xdr:cNvPr>
        <xdr:cNvPicPr>
          <a:picLocks noChangeAspect="1" noChangeArrowheads="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54137" y="14910955"/>
          <a:ext cx="1107071" cy="783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95251</xdr:colOff>
      <xdr:row>88</xdr:row>
      <xdr:rowOff>51955</xdr:rowOff>
    </xdr:from>
    <xdr:ext cx="1110246" cy="783358"/>
    <xdr:pic>
      <xdr:nvPicPr>
        <xdr:cNvPr id="15" name="Imagen 14" descr="icono de vector plano de árboles 5241045 Vector en Vecteezy">
          <a:extLst>
            <a:ext uri="{FF2B5EF4-FFF2-40B4-BE49-F238E27FC236}">
              <a16:creationId xmlns:a16="http://schemas.microsoft.com/office/drawing/2014/main" id="{C35A0B3E-6933-4CCD-A391-8C5C94471250}"/>
            </a:ext>
          </a:extLst>
        </xdr:cNvPr>
        <xdr:cNvPicPr>
          <a:picLocks noChangeAspect="1" noChangeArrowheads="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54137" y="11937712"/>
          <a:ext cx="1110246" cy="7833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95251</xdr:colOff>
      <xdr:row>110</xdr:row>
      <xdr:rowOff>51955</xdr:rowOff>
    </xdr:from>
    <xdr:ext cx="1110246" cy="783358"/>
    <xdr:pic>
      <xdr:nvPicPr>
        <xdr:cNvPr id="17" name="Imagen 16" descr="icono de vector plano de árboles 5241045 Vector en Vecteezy">
          <a:extLst>
            <a:ext uri="{FF2B5EF4-FFF2-40B4-BE49-F238E27FC236}">
              <a16:creationId xmlns:a16="http://schemas.microsoft.com/office/drawing/2014/main" id="{18F20ECC-A7E1-4E13-A766-8D9B50144861}"/>
            </a:ext>
          </a:extLst>
        </xdr:cNvPr>
        <xdr:cNvPicPr>
          <a:picLocks noChangeAspect="1" noChangeArrowheads="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54137" y="20744007"/>
          <a:ext cx="1110246" cy="7833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95251</xdr:colOff>
      <xdr:row>134</xdr:row>
      <xdr:rowOff>51955</xdr:rowOff>
    </xdr:from>
    <xdr:ext cx="1110246" cy="783358"/>
    <xdr:pic>
      <xdr:nvPicPr>
        <xdr:cNvPr id="18" name="Imagen 17" descr="icono de vector plano de árboles 5241045 Vector en Vecteezy">
          <a:extLst>
            <a:ext uri="{FF2B5EF4-FFF2-40B4-BE49-F238E27FC236}">
              <a16:creationId xmlns:a16="http://schemas.microsoft.com/office/drawing/2014/main" id="{5BC845E3-2E94-4797-AD30-5EF813AAFAB3}"/>
            </a:ext>
          </a:extLst>
        </xdr:cNvPr>
        <xdr:cNvPicPr>
          <a:picLocks noChangeAspect="1" noChangeArrowheads="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54137" y="21125007"/>
          <a:ext cx="1110246" cy="7833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95251</xdr:colOff>
      <xdr:row>156</xdr:row>
      <xdr:rowOff>51955</xdr:rowOff>
    </xdr:from>
    <xdr:ext cx="1110246" cy="783358"/>
    <xdr:pic>
      <xdr:nvPicPr>
        <xdr:cNvPr id="19" name="Imagen 18" descr="icono de vector plano de árboles 5241045 Vector en Vecteezy">
          <a:extLst>
            <a:ext uri="{FF2B5EF4-FFF2-40B4-BE49-F238E27FC236}">
              <a16:creationId xmlns:a16="http://schemas.microsoft.com/office/drawing/2014/main" id="{15D4638B-31F8-41F8-AA0D-53B829966A2C}"/>
            </a:ext>
          </a:extLst>
        </xdr:cNvPr>
        <xdr:cNvPicPr>
          <a:picLocks noChangeAspect="1" noChangeArrowheads="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54137" y="26147280"/>
          <a:ext cx="1110246" cy="7833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164523</xdr:colOff>
      <xdr:row>28</xdr:row>
      <xdr:rowOff>121226</xdr:rowOff>
    </xdr:from>
    <xdr:to>
      <xdr:col>17</xdr:col>
      <xdr:colOff>0</xdr:colOff>
      <xdr:row>37</xdr:row>
      <xdr:rowOff>190499</xdr:rowOff>
    </xdr:to>
    <xdr:graphicFrame macro="">
      <xdr:nvGraphicFramePr>
        <xdr:cNvPr id="4" name="Gráfico 3">
          <a:extLst>
            <a:ext uri="{FF2B5EF4-FFF2-40B4-BE49-F238E27FC236}">
              <a16:creationId xmlns:a16="http://schemas.microsoft.com/office/drawing/2014/main" id="{E98F2E6A-90A4-45A7-AF50-576615A0A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147205</xdr:colOff>
      <xdr:row>54</xdr:row>
      <xdr:rowOff>173182</xdr:rowOff>
    </xdr:from>
    <xdr:to>
      <xdr:col>16</xdr:col>
      <xdr:colOff>821864</xdr:colOff>
      <xdr:row>64</xdr:row>
      <xdr:rowOff>7173</xdr:rowOff>
    </xdr:to>
    <xdr:graphicFrame macro="">
      <xdr:nvGraphicFramePr>
        <xdr:cNvPr id="9" name="Gráfico 8">
          <a:extLst>
            <a:ext uri="{FF2B5EF4-FFF2-40B4-BE49-F238E27FC236}">
              <a16:creationId xmlns:a16="http://schemas.microsoft.com/office/drawing/2014/main" id="{60AE0F47-8E35-4873-9B94-2FB85AD837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164523</xdr:colOff>
      <xdr:row>85</xdr:row>
      <xdr:rowOff>8659</xdr:rowOff>
    </xdr:from>
    <xdr:to>
      <xdr:col>16</xdr:col>
      <xdr:colOff>839182</xdr:colOff>
      <xdr:row>94</xdr:row>
      <xdr:rowOff>7173</xdr:rowOff>
    </xdr:to>
    <xdr:graphicFrame macro="">
      <xdr:nvGraphicFramePr>
        <xdr:cNvPr id="11" name="Gráfico 10">
          <a:extLst>
            <a:ext uri="{FF2B5EF4-FFF2-40B4-BE49-F238E27FC236}">
              <a16:creationId xmlns:a16="http://schemas.microsoft.com/office/drawing/2014/main" id="{08F53680-E27B-4011-A156-CD2DBF560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155863</xdr:colOff>
      <xdr:row>106</xdr:row>
      <xdr:rowOff>181840</xdr:rowOff>
    </xdr:from>
    <xdr:to>
      <xdr:col>16</xdr:col>
      <xdr:colOff>830522</xdr:colOff>
      <xdr:row>115</xdr:row>
      <xdr:rowOff>189013</xdr:rowOff>
    </xdr:to>
    <xdr:graphicFrame macro="">
      <xdr:nvGraphicFramePr>
        <xdr:cNvPr id="16" name="Gráfico 15">
          <a:extLst>
            <a:ext uri="{FF2B5EF4-FFF2-40B4-BE49-F238E27FC236}">
              <a16:creationId xmlns:a16="http://schemas.microsoft.com/office/drawing/2014/main" id="{6BB9B214-B6C5-405F-8D25-FA6A59BD8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155863</xdr:colOff>
      <xdr:row>131</xdr:row>
      <xdr:rowOff>0</xdr:rowOff>
    </xdr:from>
    <xdr:to>
      <xdr:col>16</xdr:col>
      <xdr:colOff>830522</xdr:colOff>
      <xdr:row>139</xdr:row>
      <xdr:rowOff>189013</xdr:rowOff>
    </xdr:to>
    <xdr:graphicFrame macro="">
      <xdr:nvGraphicFramePr>
        <xdr:cNvPr id="20" name="Gráfico 19">
          <a:extLst>
            <a:ext uri="{FF2B5EF4-FFF2-40B4-BE49-F238E27FC236}">
              <a16:creationId xmlns:a16="http://schemas.microsoft.com/office/drawing/2014/main" id="{CA89E8A7-66D6-4522-87E2-75388A56D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181841</xdr:colOff>
      <xdr:row>153</xdr:row>
      <xdr:rowOff>17319</xdr:rowOff>
    </xdr:from>
    <xdr:to>
      <xdr:col>17</xdr:col>
      <xdr:colOff>16568</xdr:colOff>
      <xdr:row>162</xdr:row>
      <xdr:rowOff>15832</xdr:rowOff>
    </xdr:to>
    <xdr:graphicFrame macro="">
      <xdr:nvGraphicFramePr>
        <xdr:cNvPr id="25" name="Gráfico 24">
          <a:extLst>
            <a:ext uri="{FF2B5EF4-FFF2-40B4-BE49-F238E27FC236}">
              <a16:creationId xmlns:a16="http://schemas.microsoft.com/office/drawing/2014/main" id="{3892F599-7735-4605-824B-20D0198DD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25978</xdr:colOff>
          <xdr:row>122</xdr:row>
          <xdr:rowOff>138546</xdr:rowOff>
        </xdr:from>
        <xdr:to>
          <xdr:col>14</xdr:col>
          <xdr:colOff>65155</xdr:colOff>
          <xdr:row>129</xdr:row>
          <xdr:rowOff>23591</xdr:rowOff>
        </xdr:to>
        <xdr:pic>
          <xdr:nvPicPr>
            <xdr:cNvPr id="8" name="Imagen 7">
              <a:extLst>
                <a:ext uri="{FF2B5EF4-FFF2-40B4-BE49-F238E27FC236}">
                  <a16:creationId xmlns:a16="http://schemas.microsoft.com/office/drawing/2014/main" id="{16388F96-F9D5-404B-A8D1-E913DA283EAE}"/>
                </a:ext>
              </a:extLst>
            </xdr:cNvPr>
            <xdr:cNvPicPr>
              <a:picLocks noChangeAspect="1"/>
              <a:extLst>
                <a:ext uri="{84589F7E-364E-4C9E-8A38-B11213B215E9}">
                  <a14:cameraTool cellRange="Kutools_PDL0_1" spid="_x0000_s3110"/>
                </a:ext>
              </a:extLst>
            </xdr:cNvPicPr>
          </xdr:nvPicPr>
          <xdr:blipFill>
            <a:blip xmlns:r="http://schemas.openxmlformats.org/officeDocument/2006/relationships" r:embed="rId17"/>
            <a:stretch>
              <a:fillRect/>
            </a:stretch>
          </xdr:blipFill>
          <xdr:spPr>
            <a:xfrm>
              <a:off x="7005205" y="24713046"/>
              <a:ext cx="1078268" cy="1080000"/>
            </a:xfrm>
            <a:prstGeom prst="rect">
              <a:avLst/>
            </a:prstGeom>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21</xdr:col>
      <xdr:colOff>53577</xdr:colOff>
      <xdr:row>0</xdr:row>
      <xdr:rowOff>0</xdr:rowOff>
    </xdr:from>
    <xdr:to>
      <xdr:col>27</xdr:col>
      <xdr:colOff>53577</xdr:colOff>
      <xdr:row>2</xdr:row>
      <xdr:rowOff>163115</xdr:rowOff>
    </xdr:to>
    <xdr:graphicFrame macro="">
      <xdr:nvGraphicFramePr>
        <xdr:cNvPr id="2" name="Gráfico 1">
          <a:extLst>
            <a:ext uri="{FF2B5EF4-FFF2-40B4-BE49-F238E27FC236}">
              <a16:creationId xmlns:a16="http://schemas.microsoft.com/office/drawing/2014/main" id="{75449158-D85C-4D58-9AFF-4238B390EF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826544</xdr:colOff>
      <xdr:row>102</xdr:row>
      <xdr:rowOff>83345</xdr:rowOff>
    </xdr:from>
    <xdr:to>
      <xdr:col>18</xdr:col>
      <xdr:colOff>62628</xdr:colOff>
      <xdr:row>112</xdr:row>
      <xdr:rowOff>62665</xdr:rowOff>
    </xdr:to>
    <xdr:pic>
      <xdr:nvPicPr>
        <xdr:cNvPr id="3" name="Imagen 2">
          <a:extLst>
            <a:ext uri="{FF2B5EF4-FFF2-40B4-BE49-F238E27FC236}">
              <a16:creationId xmlns:a16="http://schemas.microsoft.com/office/drawing/2014/main" id="{CB1722CF-3AF5-4899-B069-9D2BD48DDCFD}"/>
            </a:ext>
          </a:extLst>
        </xdr:cNvPr>
        <xdr:cNvPicPr>
          <a:picLocks noChangeAspect="1"/>
        </xdr:cNvPicPr>
      </xdr:nvPicPr>
      <xdr:blipFill>
        <a:blip xmlns:r="http://schemas.openxmlformats.org/officeDocument/2006/relationships" r:embed="rId2"/>
        <a:stretch>
          <a:fillRect/>
        </a:stretch>
      </xdr:blipFill>
      <xdr:spPr>
        <a:xfrm>
          <a:off x="16455064" y="18393904"/>
          <a:ext cx="3234076" cy="1809123"/>
        </a:xfrm>
        <a:prstGeom prst="rect">
          <a:avLst/>
        </a:prstGeom>
      </xdr:spPr>
    </xdr:pic>
    <xdr:clientData/>
  </xdr:twoCellAnchor>
  <xdr:twoCellAnchor editAs="oneCell">
    <xdr:from>
      <xdr:col>20</xdr:col>
      <xdr:colOff>250659</xdr:colOff>
      <xdr:row>100</xdr:row>
      <xdr:rowOff>37599</xdr:rowOff>
    </xdr:from>
    <xdr:to>
      <xdr:col>25</xdr:col>
      <xdr:colOff>440867</xdr:colOff>
      <xdr:row>125</xdr:row>
      <xdr:rowOff>127507</xdr:rowOff>
    </xdr:to>
    <xdr:pic>
      <xdr:nvPicPr>
        <xdr:cNvPr id="4" name="Imagen 3">
          <a:extLst>
            <a:ext uri="{FF2B5EF4-FFF2-40B4-BE49-F238E27FC236}">
              <a16:creationId xmlns:a16="http://schemas.microsoft.com/office/drawing/2014/main" id="{93317B61-9ED2-4D54-8444-F12E84E8D0EE}"/>
            </a:ext>
          </a:extLst>
        </xdr:cNvPr>
        <xdr:cNvPicPr>
          <a:picLocks noChangeAspect="1"/>
        </xdr:cNvPicPr>
      </xdr:nvPicPr>
      <xdr:blipFill>
        <a:blip xmlns:r="http://schemas.openxmlformats.org/officeDocument/2006/relationships" r:embed="rId3"/>
        <a:stretch>
          <a:fillRect/>
        </a:stretch>
      </xdr:blipFill>
      <xdr:spPr>
        <a:xfrm>
          <a:off x="20729409" y="17997237"/>
          <a:ext cx="3975142" cy="4610409"/>
        </a:xfrm>
        <a:prstGeom prst="rect">
          <a:avLst/>
        </a:prstGeom>
      </xdr:spPr>
    </xdr:pic>
    <xdr:clientData/>
  </xdr:twoCellAnchor>
  <xdr:twoCellAnchor editAs="oneCell">
    <xdr:from>
      <xdr:col>1</xdr:col>
      <xdr:colOff>0</xdr:colOff>
      <xdr:row>145</xdr:row>
      <xdr:rowOff>0</xdr:rowOff>
    </xdr:from>
    <xdr:to>
      <xdr:col>1</xdr:col>
      <xdr:colOff>1080000</xdr:colOff>
      <xdr:row>145</xdr:row>
      <xdr:rowOff>1080000</xdr:rowOff>
    </xdr:to>
    <xdr:pic>
      <xdr:nvPicPr>
        <xdr:cNvPr id="6" name="Imagen 5">
          <a:extLst>
            <a:ext uri="{FF2B5EF4-FFF2-40B4-BE49-F238E27FC236}">
              <a16:creationId xmlns:a16="http://schemas.microsoft.com/office/drawing/2014/main" id="{7476B8E7-5F55-1DEE-C644-D0E2FBF2BA7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65814" y="26326657"/>
          <a:ext cx="1080000" cy="1080000"/>
        </a:xfrm>
        <a:prstGeom prst="rect">
          <a:avLst/>
        </a:prstGeom>
      </xdr:spPr>
    </xdr:pic>
    <xdr:clientData/>
  </xdr:twoCellAnchor>
  <xdr:twoCellAnchor editAs="oneCell">
    <xdr:from>
      <xdr:col>1</xdr:col>
      <xdr:colOff>0</xdr:colOff>
      <xdr:row>146</xdr:row>
      <xdr:rowOff>0</xdr:rowOff>
    </xdr:from>
    <xdr:to>
      <xdr:col>1</xdr:col>
      <xdr:colOff>1080000</xdr:colOff>
      <xdr:row>146</xdr:row>
      <xdr:rowOff>1080000</xdr:rowOff>
    </xdr:to>
    <xdr:pic>
      <xdr:nvPicPr>
        <xdr:cNvPr id="8" name="Imagen 7">
          <a:extLst>
            <a:ext uri="{FF2B5EF4-FFF2-40B4-BE49-F238E27FC236}">
              <a16:creationId xmlns:a16="http://schemas.microsoft.com/office/drawing/2014/main" id="{D763B2D5-6AB1-985A-46D1-46B2750D80E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5814" y="27943692"/>
          <a:ext cx="1080000" cy="1080000"/>
        </a:xfrm>
        <a:prstGeom prst="rect">
          <a:avLst/>
        </a:prstGeom>
      </xdr:spPr>
    </xdr:pic>
    <xdr:clientData/>
  </xdr:twoCellAnchor>
  <xdr:twoCellAnchor editAs="oneCell">
    <xdr:from>
      <xdr:col>1</xdr:col>
      <xdr:colOff>0</xdr:colOff>
      <xdr:row>147</xdr:row>
      <xdr:rowOff>0</xdr:rowOff>
    </xdr:from>
    <xdr:to>
      <xdr:col>1</xdr:col>
      <xdr:colOff>1080000</xdr:colOff>
      <xdr:row>147</xdr:row>
      <xdr:rowOff>597670</xdr:rowOff>
    </xdr:to>
    <xdr:pic>
      <xdr:nvPicPr>
        <xdr:cNvPr id="10" name="Imagen 9">
          <a:extLst>
            <a:ext uri="{FF2B5EF4-FFF2-40B4-BE49-F238E27FC236}">
              <a16:creationId xmlns:a16="http://schemas.microsoft.com/office/drawing/2014/main" id="{4BE0CB9B-E616-4433-8D4B-A3F480234F8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5814" y="29560727"/>
          <a:ext cx="1080000" cy="597670"/>
        </a:xfrm>
        <a:prstGeom prst="rect">
          <a:avLst/>
        </a:prstGeom>
      </xdr:spPr>
    </xdr:pic>
    <xdr:clientData/>
  </xdr:twoCellAnchor>
  <xdr:twoCellAnchor editAs="oneCell">
    <xdr:from>
      <xdr:col>1</xdr:col>
      <xdr:colOff>398721</xdr:colOff>
      <xdr:row>148</xdr:row>
      <xdr:rowOff>155058</xdr:rowOff>
    </xdr:from>
    <xdr:to>
      <xdr:col>1</xdr:col>
      <xdr:colOff>1245707</xdr:colOff>
      <xdr:row>148</xdr:row>
      <xdr:rowOff>1235058</xdr:rowOff>
    </xdr:to>
    <xdr:pic>
      <xdr:nvPicPr>
        <xdr:cNvPr id="13" name="Imagen 12">
          <a:extLst>
            <a:ext uri="{FF2B5EF4-FFF2-40B4-BE49-F238E27FC236}">
              <a16:creationId xmlns:a16="http://schemas.microsoft.com/office/drawing/2014/main" id="{6A64DA43-58FF-4C0E-8B72-5179E5A4BA2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4535" y="31332820"/>
          <a:ext cx="846986" cy="108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171450</xdr:colOff>
      <xdr:row>3</xdr:row>
      <xdr:rowOff>142877</xdr:rowOff>
    </xdr:from>
    <xdr:to>
      <xdr:col>4</xdr:col>
      <xdr:colOff>752476</xdr:colOff>
      <xdr:row>9</xdr:row>
      <xdr:rowOff>95251</xdr:rowOff>
    </xdr:to>
    <xdr:sp macro="" textlink="">
      <xdr:nvSpPr>
        <xdr:cNvPr id="2" name="CuadroTexto 1">
          <a:extLst>
            <a:ext uri="{FF2B5EF4-FFF2-40B4-BE49-F238E27FC236}">
              <a16:creationId xmlns:a16="http://schemas.microsoft.com/office/drawing/2014/main" id="{EFA969B1-C088-4A88-9A81-7EC2D939D343}"/>
            </a:ext>
          </a:extLst>
        </xdr:cNvPr>
        <xdr:cNvSpPr txBox="1"/>
      </xdr:nvSpPr>
      <xdr:spPr>
        <a:xfrm>
          <a:off x="2047875" y="685802"/>
          <a:ext cx="1419226" cy="1038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3200" b="1">
              <a:solidFill>
                <a:schemeClr val="dk1"/>
              </a:solidFill>
              <a:effectLst/>
              <a:latin typeface="Century Gothic" panose="020B0502020202020204" pitchFamily="34" charset="0"/>
              <a:ea typeface="+mn-ea"/>
              <a:cs typeface="+mn-cs"/>
            </a:rPr>
            <a:t>03</a:t>
          </a:r>
        </a:p>
        <a:p>
          <a:pPr marL="0" marR="0" lvl="0" indent="0" algn="ctr" defTabSz="914400" eaLnBrk="1" fontAlgn="auto" latinLnBrk="0" hangingPunct="1">
            <a:lnSpc>
              <a:spcPct val="100000"/>
            </a:lnSpc>
            <a:spcBef>
              <a:spcPts val="0"/>
            </a:spcBef>
            <a:spcAft>
              <a:spcPts val="0"/>
            </a:spcAft>
            <a:buClrTx/>
            <a:buSzTx/>
            <a:buFontTx/>
            <a:buNone/>
            <a:tabLst/>
            <a:defRPr/>
          </a:pPr>
          <a:r>
            <a:rPr lang="es-ES" sz="1400" b="1">
              <a:solidFill>
                <a:schemeClr val="dk1"/>
              </a:solidFill>
              <a:effectLst/>
              <a:latin typeface="Century Gothic" panose="020B0502020202020204" pitchFamily="34" charset="0"/>
              <a:ea typeface="+mn-ea"/>
              <a:cs typeface="+mn-cs"/>
            </a:rPr>
            <a:t>ENERGÍA RENOVABLE</a:t>
          </a:r>
          <a:endParaRPr lang="es-ES" sz="1400">
            <a:effectLst/>
            <a:latin typeface="Century Gothic" panose="020B0502020202020204" pitchFamily="34" charset="0"/>
          </a:endParaRPr>
        </a:p>
      </xdr:txBody>
    </xdr:sp>
    <xdr:clientData/>
  </xdr:twoCellAnchor>
  <xdr:twoCellAnchor editAs="oneCell">
    <xdr:from>
      <xdr:col>3</xdr:col>
      <xdr:colOff>428625</xdr:colOff>
      <xdr:row>10</xdr:row>
      <xdr:rowOff>9525</xdr:rowOff>
    </xdr:from>
    <xdr:to>
      <xdr:col>4</xdr:col>
      <xdr:colOff>466725</xdr:colOff>
      <xdr:row>14</xdr:row>
      <xdr:rowOff>161925</xdr:rowOff>
    </xdr:to>
    <xdr:pic>
      <xdr:nvPicPr>
        <xdr:cNvPr id="3" name="Gráfico 2">
          <a:extLst>
            <a:ext uri="{FF2B5EF4-FFF2-40B4-BE49-F238E27FC236}">
              <a16:creationId xmlns:a16="http://schemas.microsoft.com/office/drawing/2014/main" id="{D70FC899-1CE8-4558-BC51-84B3C5FB71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2305050" y="1819275"/>
          <a:ext cx="876300" cy="876300"/>
        </a:xfrm>
        <a:prstGeom prst="rect">
          <a:avLst/>
        </a:prstGeom>
      </xdr:spPr>
    </xdr:pic>
    <xdr:clientData/>
  </xdr:twoCellAnchor>
  <xdr:twoCellAnchor>
    <xdr:from>
      <xdr:col>15</xdr:col>
      <xdr:colOff>747661</xdr:colOff>
      <xdr:row>1</xdr:row>
      <xdr:rowOff>122904</xdr:rowOff>
    </xdr:from>
    <xdr:to>
      <xdr:col>16</xdr:col>
      <xdr:colOff>267822</xdr:colOff>
      <xdr:row>3</xdr:row>
      <xdr:rowOff>120951</xdr:rowOff>
    </xdr:to>
    <xdr:grpSp>
      <xdr:nvGrpSpPr>
        <xdr:cNvPr id="8" name="Grupo 7">
          <a:hlinkClick xmlns:r="http://schemas.openxmlformats.org/officeDocument/2006/relationships" r:id="rId3"/>
          <a:extLst>
            <a:ext uri="{FF2B5EF4-FFF2-40B4-BE49-F238E27FC236}">
              <a16:creationId xmlns:a16="http://schemas.microsoft.com/office/drawing/2014/main" id="{9C2F8792-8ED1-03B2-7DB0-3429554FDA74}"/>
            </a:ext>
          </a:extLst>
        </xdr:cNvPr>
        <xdr:cNvGrpSpPr/>
      </xdr:nvGrpSpPr>
      <xdr:grpSpPr>
        <a:xfrm>
          <a:off x="9579934" y="304745"/>
          <a:ext cx="360093" cy="361729"/>
          <a:chOff x="9570453" y="303670"/>
          <a:chExt cx="357944" cy="359580"/>
        </a:xfrm>
      </xdr:grpSpPr>
      <xdr:sp macro="" textlink="">
        <xdr:nvSpPr>
          <xdr:cNvPr id="6" name="Rectángulo 5">
            <a:extLst>
              <a:ext uri="{FF2B5EF4-FFF2-40B4-BE49-F238E27FC236}">
                <a16:creationId xmlns:a16="http://schemas.microsoft.com/office/drawing/2014/main" id="{D890AD17-C1FB-8F15-C9C8-A35E426A49BE}"/>
              </a:ext>
            </a:extLst>
          </xdr:cNvPr>
          <xdr:cNvSpPr/>
        </xdr:nvSpPr>
        <xdr:spPr>
          <a:xfrm>
            <a:off x="9570453" y="303670"/>
            <a:ext cx="357944" cy="35958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EC" sz="1100"/>
          </a:p>
        </xdr:txBody>
      </xdr:sp>
      <xdr:sp macro="" textlink="">
        <xdr:nvSpPr>
          <xdr:cNvPr id="7" name="Flecha: en U 6">
            <a:extLst>
              <a:ext uri="{FF2B5EF4-FFF2-40B4-BE49-F238E27FC236}">
                <a16:creationId xmlns:a16="http://schemas.microsoft.com/office/drawing/2014/main" id="{2FB58A82-8D25-47B9-3415-C1985B9859EB}"/>
              </a:ext>
            </a:extLst>
          </xdr:cNvPr>
          <xdr:cNvSpPr/>
        </xdr:nvSpPr>
        <xdr:spPr>
          <a:xfrm rot="5400000">
            <a:off x="9620753" y="366525"/>
            <a:ext cx="254365" cy="250346"/>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EC" sz="1100">
              <a:solidFill>
                <a:schemeClr val="tx1"/>
              </a:solidFill>
            </a:endParaRPr>
          </a:p>
        </xdr:txBody>
      </xdr:sp>
    </xdr:grpSp>
    <xdr:clientData/>
  </xdr:twoCellAnchor>
  <xdr:twoCellAnchor editAs="oneCell">
    <xdr:from>
      <xdr:col>5</xdr:col>
      <xdr:colOff>103909</xdr:colOff>
      <xdr:row>32</xdr:row>
      <xdr:rowOff>43296</xdr:rowOff>
    </xdr:from>
    <xdr:to>
      <xdr:col>7</xdr:col>
      <xdr:colOff>93957</xdr:colOff>
      <xdr:row>36</xdr:row>
      <xdr:rowOff>99291</xdr:rowOff>
    </xdr:to>
    <xdr:pic>
      <xdr:nvPicPr>
        <xdr:cNvPr id="24" name="Imagen 23" descr="icono de vector plano de árboles 5241045 Vector en Vecteezy">
          <a:extLst>
            <a:ext uri="{FF2B5EF4-FFF2-40B4-BE49-F238E27FC236}">
              <a16:creationId xmlns:a16="http://schemas.microsoft.com/office/drawing/2014/main" id="{30E03BF9-0AF6-471F-A9D0-6C034E5DD0F4}"/>
            </a:ext>
          </a:extLst>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62795" y="6546273"/>
          <a:ext cx="1107071" cy="783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103910</xdr:colOff>
      <xdr:row>56</xdr:row>
      <xdr:rowOff>34637</xdr:rowOff>
    </xdr:from>
    <xdr:to>
      <xdr:col>7</xdr:col>
      <xdr:colOff>93958</xdr:colOff>
      <xdr:row>60</xdr:row>
      <xdr:rowOff>90631</xdr:rowOff>
    </xdr:to>
    <xdr:pic>
      <xdr:nvPicPr>
        <xdr:cNvPr id="25" name="Imagen 24" descr="icono de vector plano de árboles 5241045 Vector en Vecteezy">
          <a:extLst>
            <a:ext uri="{FF2B5EF4-FFF2-40B4-BE49-F238E27FC236}">
              <a16:creationId xmlns:a16="http://schemas.microsoft.com/office/drawing/2014/main" id="{50FCABD3-FAB9-4D09-A7A1-70E9BD6706B3}"/>
            </a:ext>
          </a:extLst>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62796" y="11109614"/>
          <a:ext cx="1107071" cy="783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77932</xdr:colOff>
      <xdr:row>81</xdr:row>
      <xdr:rowOff>34637</xdr:rowOff>
    </xdr:from>
    <xdr:to>
      <xdr:col>7</xdr:col>
      <xdr:colOff>67980</xdr:colOff>
      <xdr:row>85</xdr:row>
      <xdr:rowOff>90631</xdr:rowOff>
    </xdr:to>
    <xdr:pic>
      <xdr:nvPicPr>
        <xdr:cNvPr id="26" name="Imagen 25" descr="icono de vector plano de árboles 5241045 Vector en Vecteezy">
          <a:extLst>
            <a:ext uri="{FF2B5EF4-FFF2-40B4-BE49-F238E27FC236}">
              <a16:creationId xmlns:a16="http://schemas.microsoft.com/office/drawing/2014/main" id="{CF21BDF0-A6E5-4EF4-B1D0-67BC76A7BF76}"/>
            </a:ext>
          </a:extLst>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36818" y="15924069"/>
          <a:ext cx="1107071" cy="783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121228</xdr:colOff>
      <xdr:row>105</xdr:row>
      <xdr:rowOff>51955</xdr:rowOff>
    </xdr:from>
    <xdr:to>
      <xdr:col>7</xdr:col>
      <xdr:colOff>111276</xdr:colOff>
      <xdr:row>109</xdr:row>
      <xdr:rowOff>107950</xdr:rowOff>
    </xdr:to>
    <xdr:pic>
      <xdr:nvPicPr>
        <xdr:cNvPr id="27" name="Imagen 26" descr="icono de vector plano de árboles 5241045 Vector en Vecteezy">
          <a:extLst>
            <a:ext uri="{FF2B5EF4-FFF2-40B4-BE49-F238E27FC236}">
              <a16:creationId xmlns:a16="http://schemas.microsoft.com/office/drawing/2014/main" id="{344AF15B-760F-4E4D-BF32-C8EE48759EFB}"/>
            </a:ext>
          </a:extLst>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80114" y="20574000"/>
          <a:ext cx="1107071" cy="783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130</xdr:row>
      <xdr:rowOff>60614</xdr:rowOff>
    </xdr:from>
    <xdr:to>
      <xdr:col>7</xdr:col>
      <xdr:colOff>85298</xdr:colOff>
      <xdr:row>134</xdr:row>
      <xdr:rowOff>116608</xdr:rowOff>
    </xdr:to>
    <xdr:pic>
      <xdr:nvPicPr>
        <xdr:cNvPr id="9" name="Imagen 8" descr="icono de vector plano de árboles 5241045 Vector en Vecteezy">
          <a:extLst>
            <a:ext uri="{FF2B5EF4-FFF2-40B4-BE49-F238E27FC236}">
              <a16:creationId xmlns:a16="http://schemas.microsoft.com/office/drawing/2014/main" id="{0F425992-1017-4FEC-9614-346444D8B00F}"/>
            </a:ext>
          </a:extLst>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54136" y="25397114"/>
          <a:ext cx="1107071" cy="783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77932</xdr:colOff>
      <xdr:row>157</xdr:row>
      <xdr:rowOff>51955</xdr:rowOff>
    </xdr:from>
    <xdr:to>
      <xdr:col>7</xdr:col>
      <xdr:colOff>67980</xdr:colOff>
      <xdr:row>161</xdr:row>
      <xdr:rowOff>125267</xdr:rowOff>
    </xdr:to>
    <xdr:pic>
      <xdr:nvPicPr>
        <xdr:cNvPr id="10" name="Imagen 9" descr="icono de vector plano de árboles 5241045 Vector en Vecteezy">
          <a:extLst>
            <a:ext uri="{FF2B5EF4-FFF2-40B4-BE49-F238E27FC236}">
              <a16:creationId xmlns:a16="http://schemas.microsoft.com/office/drawing/2014/main" id="{0F6A18DC-E29B-4D76-A21F-7F7B1CE7B834}"/>
            </a:ext>
          </a:extLst>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36818" y="30947591"/>
          <a:ext cx="1107071" cy="783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77932</xdr:colOff>
      <xdr:row>179</xdr:row>
      <xdr:rowOff>69273</xdr:rowOff>
    </xdr:from>
    <xdr:to>
      <xdr:col>7</xdr:col>
      <xdr:colOff>67980</xdr:colOff>
      <xdr:row>183</xdr:row>
      <xdr:rowOff>125267</xdr:rowOff>
    </xdr:to>
    <xdr:pic>
      <xdr:nvPicPr>
        <xdr:cNvPr id="11" name="Imagen 10" descr="icono de vector plano de árboles 5241045 Vector en Vecteezy">
          <a:extLst>
            <a:ext uri="{FF2B5EF4-FFF2-40B4-BE49-F238E27FC236}">
              <a16:creationId xmlns:a16="http://schemas.microsoft.com/office/drawing/2014/main" id="{5B3CCEA2-D90E-4372-ACA4-CC96B28C3762}"/>
            </a:ext>
          </a:extLst>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36818" y="35450318"/>
          <a:ext cx="1107071" cy="783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77932</xdr:colOff>
      <xdr:row>208</xdr:row>
      <xdr:rowOff>60613</xdr:rowOff>
    </xdr:from>
    <xdr:to>
      <xdr:col>7</xdr:col>
      <xdr:colOff>67980</xdr:colOff>
      <xdr:row>212</xdr:row>
      <xdr:rowOff>116608</xdr:rowOff>
    </xdr:to>
    <xdr:pic>
      <xdr:nvPicPr>
        <xdr:cNvPr id="4" name="Imagen 3" descr="icono de vector plano de árboles 5241045 Vector en Vecteezy">
          <a:extLst>
            <a:ext uri="{FF2B5EF4-FFF2-40B4-BE49-F238E27FC236}">
              <a16:creationId xmlns:a16="http://schemas.microsoft.com/office/drawing/2014/main" id="{152BC5DC-6FA6-4485-A9AB-067F65A94DDC}"/>
            </a:ext>
          </a:extLst>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36818" y="40472590"/>
          <a:ext cx="1107071" cy="783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86592</xdr:colOff>
      <xdr:row>231</xdr:row>
      <xdr:rowOff>34636</xdr:rowOff>
    </xdr:from>
    <xdr:to>
      <xdr:col>7</xdr:col>
      <xdr:colOff>76640</xdr:colOff>
      <xdr:row>235</xdr:row>
      <xdr:rowOff>90630</xdr:rowOff>
    </xdr:to>
    <xdr:pic>
      <xdr:nvPicPr>
        <xdr:cNvPr id="5" name="Imagen 4" descr="icono de vector plano de árboles 5241045 Vector en Vecteezy">
          <a:extLst>
            <a:ext uri="{FF2B5EF4-FFF2-40B4-BE49-F238E27FC236}">
              <a16:creationId xmlns:a16="http://schemas.microsoft.com/office/drawing/2014/main" id="{50641470-4E47-4F91-8DAC-CA85749BC569}"/>
            </a:ext>
          </a:extLst>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45478" y="44983977"/>
          <a:ext cx="1107071" cy="783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112568</xdr:colOff>
      <xdr:row>257</xdr:row>
      <xdr:rowOff>43295</xdr:rowOff>
    </xdr:from>
    <xdr:to>
      <xdr:col>7</xdr:col>
      <xdr:colOff>102616</xdr:colOff>
      <xdr:row>261</xdr:row>
      <xdr:rowOff>99289</xdr:rowOff>
    </xdr:to>
    <xdr:pic>
      <xdr:nvPicPr>
        <xdr:cNvPr id="12" name="Imagen 11" descr="icono de vector plano de árboles 5241045 Vector en Vecteezy">
          <a:extLst>
            <a:ext uri="{FF2B5EF4-FFF2-40B4-BE49-F238E27FC236}">
              <a16:creationId xmlns:a16="http://schemas.microsoft.com/office/drawing/2014/main" id="{51E56C01-24F6-481F-8A62-1528CD6FFEFD}"/>
            </a:ext>
          </a:extLst>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71454" y="49859045"/>
          <a:ext cx="1107071" cy="783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69273</xdr:colOff>
      <xdr:row>282</xdr:row>
      <xdr:rowOff>51955</xdr:rowOff>
    </xdr:from>
    <xdr:to>
      <xdr:col>7</xdr:col>
      <xdr:colOff>59321</xdr:colOff>
      <xdr:row>286</xdr:row>
      <xdr:rowOff>107949</xdr:rowOff>
    </xdr:to>
    <xdr:pic>
      <xdr:nvPicPr>
        <xdr:cNvPr id="13" name="Imagen 12" descr="icono de vector plano de árboles 5241045 Vector en Vecteezy">
          <a:extLst>
            <a:ext uri="{FF2B5EF4-FFF2-40B4-BE49-F238E27FC236}">
              <a16:creationId xmlns:a16="http://schemas.microsoft.com/office/drawing/2014/main" id="{83621F70-999D-433E-8B61-280CE6242B54}"/>
            </a:ext>
          </a:extLst>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24388" b="75306" l="12449" r="86939">
                      <a14:foregroundMark x1="33878" y1="25816" x2="33878" y2="25816"/>
                      <a14:foregroundMark x1="12857" y1="50510" x2="12857" y2="50510"/>
                      <a14:foregroundMark x1="33061" y1="75306" x2="33061" y2="75306"/>
                      <a14:foregroundMark x1="68571" y1="74694" x2="68571" y2="74694"/>
                      <a14:foregroundMark x1="69592" y1="75612" x2="69592" y2="75612"/>
                      <a14:foregroundMark x1="82959" y1="56224" x2="82959" y2="56224"/>
                      <a14:foregroundMark x1="86939" y1="54694" x2="86939" y2="54694"/>
                      <a14:foregroundMark x1="31939" y1="24388" x2="31939" y2="24388"/>
                    </a14:backgroundRemoval>
                  </a14:imgEffect>
                  <a14:imgEffect>
                    <a14:sharpenSoften amount="25000"/>
                  </a14:imgEffect>
                </a14:imgLayer>
              </a14:imgProps>
            </a:ext>
            <a:ext uri="{28A0092B-C50C-407E-A947-70E740481C1C}">
              <a14:useLocalDpi xmlns:a14="http://schemas.microsoft.com/office/drawing/2010/main" val="0"/>
            </a:ext>
          </a:extLst>
        </a:blip>
        <a:srcRect l="5377" t="22077" r="10557" b="22844"/>
        <a:stretch/>
      </xdr:blipFill>
      <xdr:spPr bwMode="auto">
        <a:xfrm>
          <a:off x="3628159" y="54864000"/>
          <a:ext cx="1107071" cy="783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53</xdr:row>
      <xdr:rowOff>0</xdr:rowOff>
    </xdr:from>
    <xdr:to>
      <xdr:col>15</xdr:col>
      <xdr:colOff>827893</xdr:colOff>
      <xdr:row>61</xdr:row>
      <xdr:rowOff>186497</xdr:rowOff>
    </xdr:to>
    <xdr:graphicFrame macro="">
      <xdr:nvGraphicFramePr>
        <xdr:cNvPr id="29" name="Gráfico 28">
          <a:extLst>
            <a:ext uri="{FF2B5EF4-FFF2-40B4-BE49-F238E27FC236}">
              <a16:creationId xmlns:a16="http://schemas.microsoft.com/office/drawing/2014/main" id="{2F2DA5BE-B0D4-466D-8FD8-CD109F15F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199158</xdr:colOff>
      <xdr:row>29</xdr:row>
      <xdr:rowOff>0</xdr:rowOff>
    </xdr:from>
    <xdr:to>
      <xdr:col>15</xdr:col>
      <xdr:colOff>822612</xdr:colOff>
      <xdr:row>38</xdr:row>
      <xdr:rowOff>0</xdr:rowOff>
    </xdr:to>
    <xdr:graphicFrame macro="">
      <xdr:nvGraphicFramePr>
        <xdr:cNvPr id="14" name="Gráfico 13">
          <a:extLst>
            <a:ext uri="{FF2B5EF4-FFF2-40B4-BE49-F238E27FC236}">
              <a16:creationId xmlns:a16="http://schemas.microsoft.com/office/drawing/2014/main" id="{66F416A8-2AA8-4080-A6FD-4F128BF4DA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199158</xdr:colOff>
      <xdr:row>78</xdr:row>
      <xdr:rowOff>0</xdr:rowOff>
    </xdr:from>
    <xdr:to>
      <xdr:col>15</xdr:col>
      <xdr:colOff>805294</xdr:colOff>
      <xdr:row>87</xdr:row>
      <xdr:rowOff>8659</xdr:rowOff>
    </xdr:to>
    <xdr:graphicFrame macro="">
      <xdr:nvGraphicFramePr>
        <xdr:cNvPr id="16" name="Gráfico 15">
          <a:extLst>
            <a:ext uri="{FF2B5EF4-FFF2-40B4-BE49-F238E27FC236}">
              <a16:creationId xmlns:a16="http://schemas.microsoft.com/office/drawing/2014/main" id="{BD54D668-FDBD-4034-B6C2-7DD2EE6B9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102</xdr:row>
      <xdr:rowOff>0</xdr:rowOff>
    </xdr:from>
    <xdr:to>
      <xdr:col>15</xdr:col>
      <xdr:colOff>779318</xdr:colOff>
      <xdr:row>110</xdr:row>
      <xdr:rowOff>181841</xdr:rowOff>
    </xdr:to>
    <xdr:graphicFrame macro="">
      <xdr:nvGraphicFramePr>
        <xdr:cNvPr id="17" name="Gráfico 16">
          <a:extLst>
            <a:ext uri="{FF2B5EF4-FFF2-40B4-BE49-F238E27FC236}">
              <a16:creationId xmlns:a16="http://schemas.microsoft.com/office/drawing/2014/main" id="{655B377E-1C39-4439-828B-699B467D7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176</xdr:row>
      <xdr:rowOff>0</xdr:rowOff>
    </xdr:from>
    <xdr:to>
      <xdr:col>15</xdr:col>
      <xdr:colOff>831272</xdr:colOff>
      <xdr:row>184</xdr:row>
      <xdr:rowOff>181841</xdr:rowOff>
    </xdr:to>
    <xdr:graphicFrame macro="">
      <xdr:nvGraphicFramePr>
        <xdr:cNvPr id="21" name="Gráfico 20">
          <a:extLst>
            <a:ext uri="{FF2B5EF4-FFF2-40B4-BE49-F238E27FC236}">
              <a16:creationId xmlns:a16="http://schemas.microsoft.com/office/drawing/2014/main" id="{1BD87168-997D-439E-ABFD-158378C6A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199158</xdr:colOff>
      <xdr:row>205</xdr:row>
      <xdr:rowOff>0</xdr:rowOff>
    </xdr:from>
    <xdr:to>
      <xdr:col>16</xdr:col>
      <xdr:colOff>8658</xdr:colOff>
      <xdr:row>213</xdr:row>
      <xdr:rowOff>181841</xdr:rowOff>
    </xdr:to>
    <xdr:graphicFrame macro="">
      <xdr:nvGraphicFramePr>
        <xdr:cNvPr id="33" name="Gráfico 32">
          <a:extLst>
            <a:ext uri="{FF2B5EF4-FFF2-40B4-BE49-F238E27FC236}">
              <a16:creationId xmlns:a16="http://schemas.microsoft.com/office/drawing/2014/main" id="{1122C60B-B03F-4F28-A89A-A5F270F0D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228</xdr:row>
      <xdr:rowOff>0</xdr:rowOff>
    </xdr:from>
    <xdr:to>
      <xdr:col>15</xdr:col>
      <xdr:colOff>813954</xdr:colOff>
      <xdr:row>237</xdr:row>
      <xdr:rowOff>0</xdr:rowOff>
    </xdr:to>
    <xdr:graphicFrame macro="">
      <xdr:nvGraphicFramePr>
        <xdr:cNvPr id="34" name="Gráfico 33">
          <a:extLst>
            <a:ext uri="{FF2B5EF4-FFF2-40B4-BE49-F238E27FC236}">
              <a16:creationId xmlns:a16="http://schemas.microsoft.com/office/drawing/2014/main" id="{FADFAA38-78F8-41CD-9FD6-CBB74957F5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199158</xdr:colOff>
      <xdr:row>254</xdr:row>
      <xdr:rowOff>0</xdr:rowOff>
    </xdr:from>
    <xdr:to>
      <xdr:col>15</xdr:col>
      <xdr:colOff>822612</xdr:colOff>
      <xdr:row>262</xdr:row>
      <xdr:rowOff>164523</xdr:rowOff>
    </xdr:to>
    <xdr:graphicFrame macro="">
      <xdr:nvGraphicFramePr>
        <xdr:cNvPr id="35" name="Gráfico 34">
          <a:extLst>
            <a:ext uri="{FF2B5EF4-FFF2-40B4-BE49-F238E27FC236}">
              <a16:creationId xmlns:a16="http://schemas.microsoft.com/office/drawing/2014/main" id="{4B555950-D5BC-4FE5-AB2D-F99EA3107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199158</xdr:colOff>
      <xdr:row>279</xdr:row>
      <xdr:rowOff>0</xdr:rowOff>
    </xdr:from>
    <xdr:to>
      <xdr:col>15</xdr:col>
      <xdr:colOff>822612</xdr:colOff>
      <xdr:row>288</xdr:row>
      <xdr:rowOff>8659</xdr:rowOff>
    </xdr:to>
    <xdr:graphicFrame macro="">
      <xdr:nvGraphicFramePr>
        <xdr:cNvPr id="36" name="Gráfico 35">
          <a:extLst>
            <a:ext uri="{FF2B5EF4-FFF2-40B4-BE49-F238E27FC236}">
              <a16:creationId xmlns:a16="http://schemas.microsoft.com/office/drawing/2014/main" id="{5BEA6F58-801D-45C9-8DDF-CB0930E2F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25977</xdr:colOff>
      <xdr:row>127</xdr:row>
      <xdr:rowOff>1</xdr:rowOff>
    </xdr:from>
    <xdr:to>
      <xdr:col>15</xdr:col>
      <xdr:colOff>839931</xdr:colOff>
      <xdr:row>136</xdr:row>
      <xdr:rowOff>0</xdr:rowOff>
    </xdr:to>
    <xdr:graphicFrame macro="">
      <xdr:nvGraphicFramePr>
        <xdr:cNvPr id="15" name="Gráfico 14">
          <a:extLst>
            <a:ext uri="{FF2B5EF4-FFF2-40B4-BE49-F238E27FC236}">
              <a16:creationId xmlns:a16="http://schemas.microsoft.com/office/drawing/2014/main" id="{2848722B-E428-4CC9-AE0C-DA660CADA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34636</xdr:colOff>
      <xdr:row>155</xdr:row>
      <xdr:rowOff>181841</xdr:rowOff>
    </xdr:from>
    <xdr:to>
      <xdr:col>16</xdr:col>
      <xdr:colOff>0</xdr:colOff>
      <xdr:row>163</xdr:row>
      <xdr:rowOff>1</xdr:rowOff>
    </xdr:to>
    <xdr:graphicFrame macro="">
      <xdr:nvGraphicFramePr>
        <xdr:cNvPr id="20" name="Gráfico 19">
          <a:extLst>
            <a:ext uri="{FF2B5EF4-FFF2-40B4-BE49-F238E27FC236}">
              <a16:creationId xmlns:a16="http://schemas.microsoft.com/office/drawing/2014/main" id="{5B0E7323-E8A7-44C1-839B-AA526B6759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190500</xdr:colOff>
      <xdr:row>3</xdr:row>
      <xdr:rowOff>47626</xdr:rowOff>
    </xdr:from>
    <xdr:to>
      <xdr:col>4</xdr:col>
      <xdr:colOff>771526</xdr:colOff>
      <xdr:row>9</xdr:row>
      <xdr:rowOff>133350</xdr:rowOff>
    </xdr:to>
    <xdr:sp macro="" textlink="">
      <xdr:nvSpPr>
        <xdr:cNvPr id="2" name="CuadroTexto 1">
          <a:extLst>
            <a:ext uri="{FF2B5EF4-FFF2-40B4-BE49-F238E27FC236}">
              <a16:creationId xmlns:a16="http://schemas.microsoft.com/office/drawing/2014/main" id="{39D7ADE4-A47B-4679-B30D-7B12CB56E5A4}"/>
            </a:ext>
          </a:extLst>
        </xdr:cNvPr>
        <xdr:cNvSpPr txBox="1"/>
      </xdr:nvSpPr>
      <xdr:spPr>
        <a:xfrm>
          <a:off x="2066925" y="590551"/>
          <a:ext cx="1419226" cy="11715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3200" b="1">
              <a:solidFill>
                <a:schemeClr val="dk1"/>
              </a:solidFill>
              <a:effectLst/>
              <a:latin typeface="Century Gothic" panose="020B0502020202020204" pitchFamily="34" charset="0"/>
              <a:ea typeface="+mn-ea"/>
              <a:cs typeface="+mn-cs"/>
            </a:rPr>
            <a:t>04</a:t>
          </a:r>
        </a:p>
        <a:p>
          <a:pPr marL="0" marR="0" lvl="0" indent="0" algn="ctr" defTabSz="914400" eaLnBrk="1" fontAlgn="auto" latinLnBrk="0" hangingPunct="1">
            <a:lnSpc>
              <a:spcPct val="100000"/>
            </a:lnSpc>
            <a:spcBef>
              <a:spcPts val="0"/>
            </a:spcBef>
            <a:spcAft>
              <a:spcPts val="0"/>
            </a:spcAft>
            <a:buClrTx/>
            <a:buSzTx/>
            <a:buFontTx/>
            <a:buNone/>
            <a:tabLst/>
            <a:defRPr/>
          </a:pPr>
          <a:r>
            <a:rPr lang="es-ES" sz="1400" b="1">
              <a:solidFill>
                <a:schemeClr val="dk1"/>
              </a:solidFill>
              <a:effectLst/>
              <a:latin typeface="Century Gothic" panose="020B0502020202020204" pitchFamily="34" charset="0"/>
              <a:ea typeface="+mn-ea"/>
              <a:cs typeface="+mn-cs"/>
            </a:rPr>
            <a:t>GESTIÓN</a:t>
          </a:r>
          <a:r>
            <a:rPr lang="es-ES" sz="1400" b="1" baseline="0">
              <a:solidFill>
                <a:schemeClr val="dk1"/>
              </a:solidFill>
              <a:effectLst/>
              <a:latin typeface="Century Gothic" panose="020B0502020202020204" pitchFamily="34" charset="0"/>
              <a:ea typeface="+mn-ea"/>
              <a:cs typeface="+mn-cs"/>
            </a:rPr>
            <a:t> AGUA</a:t>
          </a:r>
          <a:endParaRPr lang="es-ES" sz="1400">
            <a:effectLst/>
            <a:latin typeface="Century Gothic" panose="020B0502020202020204" pitchFamily="34" charset="0"/>
          </a:endParaRPr>
        </a:p>
      </xdr:txBody>
    </xdr:sp>
    <xdr:clientData/>
  </xdr:twoCellAnchor>
  <xdr:twoCellAnchor editAs="oneCell">
    <xdr:from>
      <xdr:col>9</xdr:col>
      <xdr:colOff>133350</xdr:colOff>
      <xdr:row>4</xdr:row>
      <xdr:rowOff>38100</xdr:rowOff>
    </xdr:from>
    <xdr:to>
      <xdr:col>10</xdr:col>
      <xdr:colOff>171450</xdr:colOff>
      <xdr:row>9</xdr:row>
      <xdr:rowOff>9525</xdr:rowOff>
    </xdr:to>
    <xdr:pic>
      <xdr:nvPicPr>
        <xdr:cNvPr id="3" name="Gráfico 2">
          <a:extLst>
            <a:ext uri="{FF2B5EF4-FFF2-40B4-BE49-F238E27FC236}">
              <a16:creationId xmlns:a16="http://schemas.microsoft.com/office/drawing/2014/main" id="{0EC4815B-D46A-474A-ABBA-7C4FAE19FE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5838825" y="762000"/>
          <a:ext cx="876300" cy="876300"/>
        </a:xfrm>
        <a:prstGeom prst="rect">
          <a:avLst/>
        </a:prstGeom>
      </xdr:spPr>
    </xdr:pic>
    <xdr:clientData/>
  </xdr:twoCellAnchor>
  <xdr:twoCellAnchor>
    <xdr:from>
      <xdr:col>15</xdr:col>
      <xdr:colOff>788629</xdr:colOff>
      <xdr:row>2</xdr:row>
      <xdr:rowOff>4512</xdr:rowOff>
    </xdr:from>
    <xdr:to>
      <xdr:col>16</xdr:col>
      <xdr:colOff>308790</xdr:colOff>
      <xdr:row>4</xdr:row>
      <xdr:rowOff>2560</xdr:rowOff>
    </xdr:to>
    <xdr:grpSp>
      <xdr:nvGrpSpPr>
        <xdr:cNvPr id="7" name="Grupo 6">
          <a:hlinkClick xmlns:r="http://schemas.openxmlformats.org/officeDocument/2006/relationships" r:id="rId3"/>
          <a:extLst>
            <a:ext uri="{FF2B5EF4-FFF2-40B4-BE49-F238E27FC236}">
              <a16:creationId xmlns:a16="http://schemas.microsoft.com/office/drawing/2014/main" id="{421345B6-169E-26C4-83FB-046D2DE95B86}"/>
            </a:ext>
          </a:extLst>
        </xdr:cNvPr>
        <xdr:cNvGrpSpPr/>
      </xdr:nvGrpSpPr>
      <xdr:grpSpPr>
        <a:xfrm>
          <a:off x="9620902" y="368194"/>
          <a:ext cx="360093" cy="361730"/>
          <a:chOff x="9617571" y="364197"/>
          <a:chExt cx="359427" cy="357734"/>
        </a:xfrm>
      </xdr:grpSpPr>
      <xdr:sp macro="" textlink="">
        <xdr:nvSpPr>
          <xdr:cNvPr id="5" name="Rectángulo 4">
            <a:extLst>
              <a:ext uri="{FF2B5EF4-FFF2-40B4-BE49-F238E27FC236}">
                <a16:creationId xmlns:a16="http://schemas.microsoft.com/office/drawing/2014/main" id="{C98C25D6-0C70-333E-6F16-22608482F34B}"/>
              </a:ext>
            </a:extLst>
          </xdr:cNvPr>
          <xdr:cNvSpPr/>
        </xdr:nvSpPr>
        <xdr:spPr>
          <a:xfrm>
            <a:off x="9617571" y="364197"/>
            <a:ext cx="359427" cy="357734"/>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endParaRPr lang="es-EC" sz="1100"/>
          </a:p>
        </xdr:txBody>
      </xdr:sp>
      <xdr:sp macro="" textlink="">
        <xdr:nvSpPr>
          <xdr:cNvPr id="6" name="Flecha: en U 5">
            <a:extLst>
              <a:ext uri="{FF2B5EF4-FFF2-40B4-BE49-F238E27FC236}">
                <a16:creationId xmlns:a16="http://schemas.microsoft.com/office/drawing/2014/main" id="{53AD1238-EE36-0C4F-E50F-C95BA874D160}"/>
              </a:ext>
            </a:extLst>
          </xdr:cNvPr>
          <xdr:cNvSpPr/>
        </xdr:nvSpPr>
        <xdr:spPr>
          <a:xfrm rot="5400000">
            <a:off x="9669994" y="426849"/>
            <a:ext cx="251608" cy="252000"/>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EC" sz="1100">
              <a:solidFill>
                <a:schemeClr val="tx1"/>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190500</xdr:colOff>
      <xdr:row>3</xdr:row>
      <xdr:rowOff>47626</xdr:rowOff>
    </xdr:from>
    <xdr:to>
      <xdr:col>4</xdr:col>
      <xdr:colOff>771526</xdr:colOff>
      <xdr:row>10</xdr:row>
      <xdr:rowOff>0</xdr:rowOff>
    </xdr:to>
    <xdr:sp macro="" textlink="">
      <xdr:nvSpPr>
        <xdr:cNvPr id="2" name="CuadroTexto 1">
          <a:extLst>
            <a:ext uri="{FF2B5EF4-FFF2-40B4-BE49-F238E27FC236}">
              <a16:creationId xmlns:a16="http://schemas.microsoft.com/office/drawing/2014/main" id="{4C9D1057-8F2F-4B40-ABF5-CEF122FF7207}"/>
            </a:ext>
          </a:extLst>
        </xdr:cNvPr>
        <xdr:cNvSpPr txBox="1"/>
      </xdr:nvSpPr>
      <xdr:spPr>
        <a:xfrm>
          <a:off x="2066925" y="590551"/>
          <a:ext cx="1419226" cy="1038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3200" b="1">
              <a:solidFill>
                <a:schemeClr val="dk1"/>
              </a:solidFill>
              <a:effectLst/>
              <a:latin typeface="Century Gothic" panose="020B0502020202020204" pitchFamily="34" charset="0"/>
              <a:ea typeface="+mn-ea"/>
              <a:cs typeface="+mn-cs"/>
            </a:rPr>
            <a:t>05</a:t>
          </a:r>
        </a:p>
        <a:p>
          <a:pPr marL="0" marR="0" lvl="0" indent="0" algn="ctr" defTabSz="914400" eaLnBrk="1" fontAlgn="auto" latinLnBrk="0" hangingPunct="1">
            <a:lnSpc>
              <a:spcPct val="100000"/>
            </a:lnSpc>
            <a:spcBef>
              <a:spcPts val="0"/>
            </a:spcBef>
            <a:spcAft>
              <a:spcPts val="0"/>
            </a:spcAft>
            <a:buClrTx/>
            <a:buSzTx/>
            <a:buFontTx/>
            <a:buNone/>
            <a:tabLst/>
            <a:defRPr/>
          </a:pPr>
          <a:r>
            <a:rPr lang="es-ES" sz="1400" b="1">
              <a:solidFill>
                <a:schemeClr val="dk1"/>
              </a:solidFill>
              <a:effectLst/>
              <a:latin typeface="Century Gothic" panose="020B0502020202020204" pitchFamily="34" charset="0"/>
              <a:ea typeface="+mn-ea"/>
              <a:cs typeface="+mn-cs"/>
            </a:rPr>
            <a:t>RECURSOS</a:t>
          </a:r>
          <a:r>
            <a:rPr lang="es-ES" sz="1400" b="1" baseline="0">
              <a:solidFill>
                <a:schemeClr val="dk1"/>
              </a:solidFill>
              <a:effectLst/>
              <a:latin typeface="Century Gothic" panose="020B0502020202020204" pitchFamily="34" charset="0"/>
              <a:ea typeface="+mn-ea"/>
              <a:cs typeface="+mn-cs"/>
            </a:rPr>
            <a:t> NATURALES</a:t>
          </a:r>
          <a:endParaRPr lang="es-ES" sz="1400">
            <a:effectLst/>
            <a:latin typeface="Century Gothic" panose="020B0502020202020204" pitchFamily="34" charset="0"/>
          </a:endParaRPr>
        </a:p>
      </xdr:txBody>
    </xdr:sp>
    <xdr:clientData/>
  </xdr:twoCellAnchor>
  <xdr:twoCellAnchor editAs="oneCell">
    <xdr:from>
      <xdr:col>3</xdr:col>
      <xdr:colOff>438150</xdr:colOff>
      <xdr:row>9</xdr:row>
      <xdr:rowOff>114300</xdr:rowOff>
    </xdr:from>
    <xdr:to>
      <xdr:col>4</xdr:col>
      <xdr:colOff>476250</xdr:colOff>
      <xdr:row>14</xdr:row>
      <xdr:rowOff>92075</xdr:rowOff>
    </xdr:to>
    <xdr:pic>
      <xdr:nvPicPr>
        <xdr:cNvPr id="3" name="Gráfico 2">
          <a:extLst>
            <a:ext uri="{FF2B5EF4-FFF2-40B4-BE49-F238E27FC236}">
              <a16:creationId xmlns:a16="http://schemas.microsoft.com/office/drawing/2014/main" id="{863916E4-93CF-46A3-BF10-7B4576A52C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2314575" y="1743075"/>
          <a:ext cx="876300" cy="876300"/>
        </a:xfrm>
        <a:prstGeom prst="rect">
          <a:avLst/>
        </a:prstGeom>
      </xdr:spPr>
    </xdr:pic>
    <xdr:clientData/>
  </xdr:twoCellAnchor>
  <xdr:twoCellAnchor>
    <xdr:from>
      <xdr:col>16</xdr:col>
      <xdr:colOff>10242</xdr:colOff>
      <xdr:row>1</xdr:row>
      <xdr:rowOff>92177</xdr:rowOff>
    </xdr:from>
    <xdr:to>
      <xdr:col>16</xdr:col>
      <xdr:colOff>370242</xdr:colOff>
      <xdr:row>3</xdr:row>
      <xdr:rowOff>90226</xdr:rowOff>
    </xdr:to>
    <xdr:grpSp>
      <xdr:nvGrpSpPr>
        <xdr:cNvPr id="11" name="Grupo 10">
          <a:hlinkClick xmlns:r="http://schemas.openxmlformats.org/officeDocument/2006/relationships" r:id="rId3"/>
          <a:extLst>
            <a:ext uri="{FF2B5EF4-FFF2-40B4-BE49-F238E27FC236}">
              <a16:creationId xmlns:a16="http://schemas.microsoft.com/office/drawing/2014/main" id="{26E79E80-8EA4-95DD-917A-CC4569059946}"/>
            </a:ext>
          </a:extLst>
        </xdr:cNvPr>
        <xdr:cNvGrpSpPr/>
      </xdr:nvGrpSpPr>
      <xdr:grpSpPr>
        <a:xfrm>
          <a:off x="9405356" y="274018"/>
          <a:ext cx="360000" cy="361731"/>
          <a:chOff x="9655417" y="274665"/>
          <a:chExt cx="360000" cy="363026"/>
        </a:xfrm>
      </xdr:grpSpPr>
      <xdr:sp macro="" textlink="">
        <xdr:nvSpPr>
          <xdr:cNvPr id="9" name="Rectángulo 8">
            <a:extLst>
              <a:ext uri="{FF2B5EF4-FFF2-40B4-BE49-F238E27FC236}">
                <a16:creationId xmlns:a16="http://schemas.microsoft.com/office/drawing/2014/main" id="{B0DBC3CE-6D5B-32F0-4863-F9CFBB972D3C}"/>
              </a:ext>
            </a:extLst>
          </xdr:cNvPr>
          <xdr:cNvSpPr/>
        </xdr:nvSpPr>
        <xdr:spPr>
          <a:xfrm>
            <a:off x="9655417" y="274665"/>
            <a:ext cx="360000" cy="36302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EC" sz="1100"/>
          </a:p>
        </xdr:txBody>
      </xdr:sp>
      <xdr:sp macro="" textlink="">
        <xdr:nvSpPr>
          <xdr:cNvPr id="10" name="Flecha: en U 9">
            <a:extLst>
              <a:ext uri="{FF2B5EF4-FFF2-40B4-BE49-F238E27FC236}">
                <a16:creationId xmlns:a16="http://schemas.microsoft.com/office/drawing/2014/main" id="{EADF458A-AA48-E88A-57DC-BE1AE698A8F0}"/>
              </a:ext>
            </a:extLst>
          </xdr:cNvPr>
          <xdr:cNvSpPr/>
        </xdr:nvSpPr>
        <xdr:spPr>
          <a:xfrm rot="5400000">
            <a:off x="9707460" y="342097"/>
            <a:ext cx="253513" cy="252000"/>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EC" sz="1100">
              <a:solidFill>
                <a:schemeClr val="tx1"/>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190500</xdr:colOff>
      <xdr:row>3</xdr:row>
      <xdr:rowOff>47626</xdr:rowOff>
    </xdr:from>
    <xdr:to>
      <xdr:col>4</xdr:col>
      <xdr:colOff>771526</xdr:colOff>
      <xdr:row>9</xdr:row>
      <xdr:rowOff>133350</xdr:rowOff>
    </xdr:to>
    <xdr:sp macro="" textlink="">
      <xdr:nvSpPr>
        <xdr:cNvPr id="2" name="CuadroTexto 1">
          <a:extLst>
            <a:ext uri="{FF2B5EF4-FFF2-40B4-BE49-F238E27FC236}">
              <a16:creationId xmlns:a16="http://schemas.microsoft.com/office/drawing/2014/main" id="{B4217391-CCCA-4958-BA34-D1C4F5845D00}"/>
            </a:ext>
          </a:extLst>
        </xdr:cNvPr>
        <xdr:cNvSpPr txBox="1"/>
      </xdr:nvSpPr>
      <xdr:spPr>
        <a:xfrm>
          <a:off x="2066925" y="590551"/>
          <a:ext cx="1419226" cy="11715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3200" b="1">
              <a:solidFill>
                <a:schemeClr val="dk1"/>
              </a:solidFill>
              <a:effectLst/>
              <a:latin typeface="Century Gothic" panose="020B0502020202020204" pitchFamily="34" charset="0"/>
              <a:ea typeface="+mn-ea"/>
              <a:cs typeface="+mn-cs"/>
            </a:rPr>
            <a:t>06</a:t>
          </a:r>
        </a:p>
        <a:p>
          <a:pPr marL="0" marR="0" lvl="0" indent="0" algn="ctr" defTabSz="914400" eaLnBrk="1" fontAlgn="auto" latinLnBrk="0" hangingPunct="1">
            <a:lnSpc>
              <a:spcPct val="100000"/>
            </a:lnSpc>
            <a:spcBef>
              <a:spcPts val="0"/>
            </a:spcBef>
            <a:spcAft>
              <a:spcPts val="0"/>
            </a:spcAft>
            <a:buClrTx/>
            <a:buSzTx/>
            <a:buFontTx/>
            <a:buNone/>
            <a:tabLst/>
            <a:defRPr/>
          </a:pPr>
          <a:r>
            <a:rPr lang="es-ES" sz="1400" b="1">
              <a:solidFill>
                <a:schemeClr val="dk1"/>
              </a:solidFill>
              <a:effectLst/>
              <a:latin typeface="Century Gothic" panose="020B0502020202020204" pitchFamily="34" charset="0"/>
              <a:ea typeface="+mn-ea"/>
              <a:cs typeface="+mn-cs"/>
            </a:rPr>
            <a:t>GESTIÓN</a:t>
          </a:r>
          <a:r>
            <a:rPr lang="es-ES" sz="1400" b="1" baseline="0">
              <a:solidFill>
                <a:schemeClr val="dk1"/>
              </a:solidFill>
              <a:effectLst/>
              <a:latin typeface="Century Gothic" panose="020B0502020202020204" pitchFamily="34" charset="0"/>
              <a:ea typeface="+mn-ea"/>
              <a:cs typeface="+mn-cs"/>
            </a:rPr>
            <a:t> RESIDUOS</a:t>
          </a:r>
          <a:endParaRPr lang="es-ES" sz="1400">
            <a:effectLst/>
            <a:latin typeface="Century Gothic" panose="020B0502020202020204" pitchFamily="34" charset="0"/>
          </a:endParaRPr>
        </a:p>
      </xdr:txBody>
    </xdr:sp>
    <xdr:clientData/>
  </xdr:twoCellAnchor>
  <xdr:twoCellAnchor editAs="oneCell">
    <xdr:from>
      <xdr:col>9</xdr:col>
      <xdr:colOff>133350</xdr:colOff>
      <xdr:row>4</xdr:row>
      <xdr:rowOff>38100</xdr:rowOff>
    </xdr:from>
    <xdr:to>
      <xdr:col>10</xdr:col>
      <xdr:colOff>76200</xdr:colOff>
      <xdr:row>9</xdr:row>
      <xdr:rowOff>9525</xdr:rowOff>
    </xdr:to>
    <xdr:pic>
      <xdr:nvPicPr>
        <xdr:cNvPr id="3" name="Gráfico 2">
          <a:extLst>
            <a:ext uri="{FF2B5EF4-FFF2-40B4-BE49-F238E27FC236}">
              <a16:creationId xmlns:a16="http://schemas.microsoft.com/office/drawing/2014/main" id="{D412246D-2BE9-4F25-866E-FA10C16911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5838825" y="762000"/>
          <a:ext cx="876300" cy="876300"/>
        </a:xfrm>
        <a:prstGeom prst="rect">
          <a:avLst/>
        </a:prstGeom>
      </xdr:spPr>
    </xdr:pic>
    <xdr:clientData/>
  </xdr:twoCellAnchor>
  <xdr:twoCellAnchor>
    <xdr:from>
      <xdr:col>18</xdr:col>
      <xdr:colOff>38100</xdr:colOff>
      <xdr:row>2</xdr:row>
      <xdr:rowOff>9525</xdr:rowOff>
    </xdr:from>
    <xdr:to>
      <xdr:col>18</xdr:col>
      <xdr:colOff>398100</xdr:colOff>
      <xdr:row>4</xdr:row>
      <xdr:rowOff>7575</xdr:rowOff>
    </xdr:to>
    <xdr:grpSp>
      <xdr:nvGrpSpPr>
        <xdr:cNvPr id="7" name="Grupo 6">
          <a:hlinkClick xmlns:r="http://schemas.openxmlformats.org/officeDocument/2006/relationships" r:id="rId3"/>
          <a:extLst>
            <a:ext uri="{FF2B5EF4-FFF2-40B4-BE49-F238E27FC236}">
              <a16:creationId xmlns:a16="http://schemas.microsoft.com/office/drawing/2014/main" id="{1D6BD4B6-551F-0E1C-0EDB-82C755E72B97}"/>
            </a:ext>
          </a:extLst>
        </xdr:cNvPr>
        <xdr:cNvGrpSpPr/>
      </xdr:nvGrpSpPr>
      <xdr:grpSpPr>
        <a:xfrm>
          <a:off x="10437668" y="373207"/>
          <a:ext cx="360000" cy="361732"/>
          <a:chOff x="9683275" y="374502"/>
          <a:chExt cx="360000" cy="363026"/>
        </a:xfrm>
      </xdr:grpSpPr>
      <xdr:sp macro="" textlink="">
        <xdr:nvSpPr>
          <xdr:cNvPr id="6" name="Rectángulo 5">
            <a:extLst>
              <a:ext uri="{FF2B5EF4-FFF2-40B4-BE49-F238E27FC236}">
                <a16:creationId xmlns:a16="http://schemas.microsoft.com/office/drawing/2014/main" id="{CBAB6761-208E-CFE8-937A-A8C2EF156D41}"/>
              </a:ext>
            </a:extLst>
          </xdr:cNvPr>
          <xdr:cNvSpPr/>
        </xdr:nvSpPr>
        <xdr:spPr>
          <a:xfrm>
            <a:off x="9683275" y="374502"/>
            <a:ext cx="360000" cy="363026"/>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EC" sz="1100"/>
          </a:p>
        </xdr:txBody>
      </xdr:sp>
      <xdr:sp macro="" textlink="">
        <xdr:nvSpPr>
          <xdr:cNvPr id="5" name="Flecha: en U 4">
            <a:extLst>
              <a:ext uri="{FF2B5EF4-FFF2-40B4-BE49-F238E27FC236}">
                <a16:creationId xmlns:a16="http://schemas.microsoft.com/office/drawing/2014/main" id="{D47BBC9C-3280-F612-494F-9FF2555A70F1}"/>
              </a:ext>
            </a:extLst>
          </xdr:cNvPr>
          <xdr:cNvSpPr/>
        </xdr:nvSpPr>
        <xdr:spPr>
          <a:xfrm rot="5400000">
            <a:off x="9735318" y="441934"/>
            <a:ext cx="253513" cy="252000"/>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EC" sz="1100">
              <a:solidFill>
                <a:schemeClr val="tx1"/>
              </a:solidFill>
            </a:endParaRPr>
          </a:p>
        </xdr:txBody>
      </xdr: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OPERACIONES\C2301CNF%20-%20CONAFIPS%20SARAS\7.%20Monitoreo%20de%20indicadores\PV\INDICADORES%20CONAFIPS\INDICADORES%20CONAFIPS\Piloto%20indicadores.xlsx" TargetMode="External"/><Relationship Id="rId1" Type="http://schemas.openxmlformats.org/officeDocument/2006/relationships/externalLinkPath" Target="/OPERACIONES/C2301CNF%20-%20CONAFIPS%20SARAS/7.%20Monitoreo%20de%20indicadores/PV/INDICADORES%20CONAFIPS/INDICADORES%20CONAFIPS/Piloto%20indicadore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OPERACIONES\C2301CNF%20-%20CONAFIPS%20SARAS\7.%20Monitoreo%20de%20indicadores\PV\INDICADORES%20CONAFIPS\INDICADORES%20CONAFIPS\Piloto%20indicadores.xlsx" TargetMode="External"/><Relationship Id="rId1" Type="http://schemas.openxmlformats.org/officeDocument/2006/relationships/externalLinkPath" Target="PV/INDICADORES%20CONAFIPS/INDICADORES%20CONAFIPS/Piloto%20indicadore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OPERACIONES\C2301CNF%20-%20CONAFIPS%20SARAS\7.%20Monitoreo%20de%20indicadores\Indicadores%20CONAFIPS%20MF%201.xlsx" TargetMode="External"/><Relationship Id="rId1" Type="http://schemas.openxmlformats.org/officeDocument/2006/relationships/externalLinkPath" Target="Indicadores%20CONAFIPS%20MF%20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F:\OPERACIONES\C2301CNF%20-%20CONAFIPS%20SARAS\7.%20Monitoreo%20de%20indicadores\version%20anterior\Indicadores%20CONAFIPS%20MF%201.xlsx" TargetMode="External"/><Relationship Id="rId1" Type="http://schemas.openxmlformats.org/officeDocument/2006/relationships/externalLinkPath" Target="/OPERACIONES/C2301CNF%20-%20CONAFIPS%20SARAS/7.%20Monitoreo%20de%20indicadores/version%20anterior/Indicadores%20CONAFIPS%20MF%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ÍNDICE"/>
      <sheetName val="EDIFICIOS"/>
      <sheetName val="EFICIENCIA"/>
      <sheetName val="Datos"/>
      <sheetName val="INDICADORES"/>
      <sheetName val="BASE DE DATOS"/>
      <sheetName val="Hoja3"/>
      <sheetName val="Cálculos de gráfico"/>
      <sheetName val="Piloto indicadores"/>
    </sheetNames>
    <sheetDataSet>
      <sheetData sheetId="0"/>
      <sheetData sheetId="1"/>
      <sheetData sheetId="2">
        <row r="82">
          <cell r="I82">
            <v>12000</v>
          </cell>
        </row>
      </sheetData>
      <sheetData sheetId="3"/>
      <sheetData sheetId="4">
        <row r="1">
          <cell r="B1">
            <v>45055</v>
          </cell>
        </row>
        <row r="2">
          <cell r="C2" t="str">
            <v>DIARIO DE DIETA Y EJERCICIOS</v>
          </cell>
        </row>
        <row r="3">
          <cell r="B3">
            <v>45176</v>
          </cell>
        </row>
        <row r="5">
          <cell r="B5">
            <v>220</v>
          </cell>
        </row>
        <row r="7">
          <cell r="B7">
            <v>180</v>
          </cell>
        </row>
        <row r="9">
          <cell r="B9">
            <v>40</v>
          </cell>
        </row>
      </sheetData>
      <sheetData sheetId="5"/>
      <sheetData sheetId="6"/>
      <sheetData sheetId="7">
        <row r="4">
          <cell r="C4">
            <v>4</v>
          </cell>
        </row>
        <row r="5">
          <cell r="C5">
            <v>19</v>
          </cell>
        </row>
        <row r="22">
          <cell r="C22" t="e">
            <v>#REF!</v>
          </cell>
        </row>
        <row r="23">
          <cell r="C23" t="e">
            <v>#REF!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ÍNDICE"/>
      <sheetName val="EDIFICIOS"/>
      <sheetName val="EFICIENCIA"/>
      <sheetName val="Datos"/>
      <sheetName val="INDICADORES"/>
      <sheetName val="BASE DE DATOS"/>
      <sheetName val="Hoja3"/>
      <sheetName val="Cálculos de gráfico"/>
      <sheetName val="Piloto indicadores"/>
    </sheetNames>
    <sheetDataSet>
      <sheetData sheetId="0"/>
      <sheetData sheetId="1"/>
      <sheetData sheetId="2">
        <row r="82">
          <cell r="I82">
            <v>12000</v>
          </cell>
        </row>
      </sheetData>
      <sheetData sheetId="3"/>
      <sheetData sheetId="4">
        <row r="1">
          <cell r="B1">
            <v>45055</v>
          </cell>
        </row>
      </sheetData>
      <sheetData sheetId="5"/>
      <sheetData sheetId="6"/>
      <sheetData sheetId="7">
        <row r="4">
          <cell r="C4">
            <v>4</v>
          </cell>
        </row>
      </sheetData>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SE"/>
      <sheetName val="4.1 Rec_agua_lluvia"/>
      <sheetName val="4.2 PTAR"/>
      <sheetName val="4.3 Albarradas"/>
      <sheetName val="4.4 Recuper_agua"/>
      <sheetName val="Datos_agua"/>
      <sheetName val="6.1 Centros reciclaje"/>
      <sheetName val="6.2 Empresas reciclaje"/>
      <sheetName val="6.3 Residuos especiales"/>
      <sheetName val="6.4 Compostaje"/>
      <sheetName val="Datos_residuos"/>
      <sheetName val="Ingreso datos biodigestor"/>
      <sheetName val="Datos biodigestor"/>
      <sheetName val="AC"/>
      <sheetName val="TDRs"/>
    </sheetNames>
    <sheetDataSet>
      <sheetData sheetId="0"/>
      <sheetData sheetId="1">
        <row r="8">
          <cell r="B8" t="str">
            <v xml:space="preserve">Consumo animal </v>
          </cell>
        </row>
        <row r="10">
          <cell r="C10" t="str">
            <v>Litros</v>
          </cell>
        </row>
      </sheetData>
      <sheetData sheetId="2">
        <row r="8">
          <cell r="B8" t="str">
            <v>Aguas industriales</v>
          </cell>
        </row>
      </sheetData>
      <sheetData sheetId="3">
        <row r="8">
          <cell r="B8">
            <v>2000</v>
          </cell>
        </row>
      </sheetData>
      <sheetData sheetId="4">
        <row r="8">
          <cell r="B8" t="str">
            <v>Aguas industriales</v>
          </cell>
        </row>
      </sheetData>
      <sheetData sheetId="5"/>
      <sheetData sheetId="6">
        <row r="9">
          <cell r="C9">
            <v>5</v>
          </cell>
        </row>
      </sheetData>
      <sheetData sheetId="7">
        <row r="9">
          <cell r="B9" t="str">
            <v>x</v>
          </cell>
        </row>
      </sheetData>
      <sheetData sheetId="8">
        <row r="9">
          <cell r="B9" t="str">
            <v>Llantas</v>
          </cell>
        </row>
      </sheetData>
      <sheetData sheetId="9">
        <row r="8">
          <cell r="D8">
            <v>1200</v>
          </cell>
        </row>
      </sheetData>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SE"/>
      <sheetName val="4.1 Rec_agua_lluvia"/>
      <sheetName val="4.2 PTAR"/>
      <sheetName val="4.3 Albarradas"/>
      <sheetName val="4.4 Recuper_agua"/>
      <sheetName val="Datos_agua"/>
      <sheetName val="6.1 Centros reciclaje"/>
      <sheetName val="Datos_residuos"/>
      <sheetName val="6.2 Empresas reciclaje"/>
      <sheetName val="6.3 Residuos especiales"/>
      <sheetName val="6.4 Compostaje"/>
      <sheetName val="Ingreso datos biodigestor"/>
      <sheetName val="Datos biodigestor"/>
      <sheetName val="AC"/>
      <sheetName val="TDR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ow r="9">
          <cell r="B9" t="str">
            <v>Llantas</v>
          </cell>
        </row>
        <row r="10">
          <cell r="B10" t="str">
            <v>Baterias</v>
          </cell>
        </row>
        <row r="11">
          <cell r="B11" t="str">
            <v>Residuos electrónicos</v>
          </cell>
        </row>
        <row r="12">
          <cell r="B12" t="str">
            <v>Plástico de invernadero</v>
          </cell>
        </row>
      </sheetData>
      <sheetData sheetId="10"/>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92A47AD-9E83-4F03-B88C-488C80AD6E38}" name="Tabla22" displayName="Tabla22" ref="B120:E128" totalsRowShown="0" headerRowDxfId="56" dataDxfId="54" headerRowBorderDxfId="55" tableBorderDxfId="53" totalsRowBorderDxfId="52">
  <autoFilter ref="B120:E128" xr:uid="{A92A47AD-9E83-4F03-B88C-488C80AD6E38}"/>
  <tableColumns count="4">
    <tableColumn id="1" xr3:uid="{D86755FE-C8BE-4EE3-AF6E-1CE5F40C416E}" name="Parámetro" dataDxfId="51"/>
    <tableColumn id="2" xr3:uid="{F04FDD29-0BB8-4077-AAC6-A04F164418B0}" name="Tasa de producción diaria de estiércol fresco" dataDxfId="50"/>
    <tableColumn id="3" xr3:uid="{E7FD968B-B779-4EC1-98C9-1F4BF3443AC3}" name="Tasa de producción de biogás por Kg de estiércol" dataDxfId="49"/>
    <tableColumn id="4" xr3:uid="{5582448C-D411-4164-9162-D4103F6D3EA2}" name="Datos generales del estiércol" dataDxfId="48"/>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4F93A6-A005-4EC2-8425-5A72A5B88207}" name="Tabla224" displayName="Tabla224" ref="A97:I105" totalsRowShown="0" headerRowDxfId="36" dataDxfId="34" headerRowBorderDxfId="35" tableBorderDxfId="33" totalsRowBorderDxfId="32">
  <autoFilter ref="A97:I105" xr:uid="{9A4F93A6-A005-4EC2-8425-5A72A5B88207}"/>
  <sortState xmlns:xlrd2="http://schemas.microsoft.com/office/spreadsheetml/2017/richdata2" ref="A98:E105">
    <sortCondition ref="E137:E149"/>
  </sortState>
  <tableColumns count="9">
    <tableColumn id="1" xr3:uid="{7FC9D21F-D0CF-4BF3-AC80-9D46B691FF9F}" name="Cultivo" dataDxfId="31"/>
    <tableColumn id="2" xr3:uid="{FA52AA1C-E307-4F3B-9728-C5C4AE62093A}" name="Promedio consumo por ciclo /ha" dataDxfId="30"/>
    <tableColumn id="3" xr3:uid="{E8F873F7-2A11-4571-BBDF-70BBF64BE2B7}" name="Promedio ciclo de cultivo (meses)" dataDxfId="29"/>
    <tableColumn id="4" xr3:uid="{DEBC91F0-8ACE-4E8A-978F-435B39FC9C9F}" name="No. ciclos por año" dataDxfId="28"/>
    <tableColumn id="5" xr3:uid="{4A82A68A-8C61-4F7B-9524-7BE2BFACC215}" name="Consumo promedio anual agua/ha  (m3)" dataDxfId="27">
      <calculatedColumnFormula>+D98*B98</calculatedColumnFormula>
    </tableColumn>
    <tableColumn id="6" xr3:uid="{1AC12364-01F5-4AB5-B11F-36C78A9AF82C}" name="Peso planta (Kg)" dataDxfId="26"/>
    <tableColumn id="7" xr3:uid="{955521E5-DF65-46E3-9281-5D17DB1BE558}" name="No. Plantas /m2" dataDxfId="25"/>
    <tableColumn id="8" xr3:uid="{1E58C290-C767-41F3-A21C-E2C2AA2A2C2B}" name="% desechos organicos" dataDxfId="24"/>
    <tableColumn id="9" xr3:uid="{555305D8-A4BA-47DA-80B6-04B6E17B2787}" name="Peso desechos orgánicos por planta por ha (t/ha)" dataDxfId="23">
      <calculatedColumnFormula>+Tabla224[[#This Row],[Peso planta (Kg)]]*Tabla224[[#This Row],[No. Plantas /m2]]*10000*Tabla224[[#This Row],[% desechos organicos]]/1000</calculatedColumnFormula>
    </tableColumn>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1E8BD5B-F0A6-45A5-8BC7-783B3F2656B1}" name="Tabla225" displayName="Tabla225" ref="A155:E168" totalsRowShown="0" headerRowDxfId="22" dataDxfId="20" headerRowBorderDxfId="21" tableBorderDxfId="19" totalsRowBorderDxfId="18">
  <autoFilter ref="A155:E168" xr:uid="{C1E8BD5B-F0A6-45A5-8BC7-783B3F2656B1}"/>
  <sortState xmlns:xlrd2="http://schemas.microsoft.com/office/spreadsheetml/2017/richdata2" ref="A156:E168">
    <sortCondition ref="E139:E151"/>
  </sortState>
  <tableColumns count="5">
    <tableColumn id="1" xr3:uid="{EF7C1726-0C86-4E2A-929E-B5893A93B672}" name="Cultivo" dataDxfId="17"/>
    <tableColumn id="2" xr3:uid="{3038C395-F398-4752-AA55-BF5543422217}" name="Promedio consumo por ciclo /ha  (m3)" dataDxfId="16"/>
    <tableColumn id="3" xr3:uid="{A1F2F6FE-30E8-47CA-899B-F7F02ABD3E5F}" name="Promedio ciclo de cultivo (meses)" dataDxfId="15"/>
    <tableColumn id="4" xr3:uid="{3B3F50D8-4FAB-4A34-BBE2-02D56DD16A0A}" name="No. ciclos por año" dataDxfId="14"/>
    <tableColumn id="5" xr3:uid="{4BADCADA-2E2A-4CFB-BCA7-42024B466771}" name="Consumo de agua por año" dataDxfId="13">
      <calculatedColumnFormula>EVEN(+Tabla225[[#This Row],[Promedio consumo por ciclo /ha  (m3)]]*12/Tabla225[[#This Row],[Promedio ciclo de cultivo (meses)]])</calculatedColumnFormula>
    </tableColumn>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Diet and exercise journal">
      <a:dk1>
        <a:srgbClr val="000000"/>
      </a:dk1>
      <a:lt1>
        <a:srgbClr val="FFFFFF"/>
      </a:lt1>
      <a:dk2>
        <a:srgbClr val="284C5F"/>
      </a:dk2>
      <a:lt2>
        <a:srgbClr val="F0F0F0"/>
      </a:lt2>
      <a:accent1>
        <a:srgbClr val="90CF47"/>
      </a:accent1>
      <a:accent2>
        <a:srgbClr val="1EAA91"/>
      </a:accent2>
      <a:accent3>
        <a:srgbClr val="1E8496"/>
      </a:accent3>
      <a:accent4>
        <a:srgbClr val="AD639E"/>
      </a:accent4>
      <a:accent5>
        <a:srgbClr val="CF5539"/>
      </a:accent5>
      <a:accent6>
        <a:srgbClr val="E9A339"/>
      </a:accent6>
      <a:hlink>
        <a:srgbClr val="1E8496"/>
      </a:hlink>
      <a:folHlink>
        <a:srgbClr val="AD639E"/>
      </a:folHlink>
    </a:clrScheme>
    <a:fontScheme name="Arial Black-Arial">
      <a:majorFont>
        <a:latin typeface="Arial Black" panose="020B0A04020102020204"/>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6" dT="2023-05-11T19:29:33.02" personId="{00000000-0000-0000-0000-000000000000}" id="{9F498EA8-9F4E-4C72-B3FB-0635692977D5}">
    <text>Max 24 pies cúbicos o 700 L</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iec.espol.edu.ec/es/fiecriteria-n-2-las-cocinas-de-induccion" TargetMode="External"/><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ourworldindata.org/explorers/food-footprints?tab=table&amp;facet=none&amp;country=Almonds~Bacon~Bananas~Beans~Beef+%28beef+herd%29~Beef+%28dairy+herd%29~Beefburger~Cheese~Cow%27s+milk~Eggs~Lamb+%26+Mutton~Maize~Milk~Peas~Penne+pasta~Pig+Meat~Pizza~Poultry+Meat~Prawns+%28farmed%29~Rice~Steak+pie~Tofu~Tomatoes~Vegetable+lasagne~Wheat+%26+Rye&amp;pickerSort=desc&amp;pickerMetric=ghg_kg&amp;Commodity+or+Specific+Food+Product=Specific+food+products&amp;Environmental+Impact=Carbon+footprint&amp;Kilogram+%2F+Protein+%2F+Calories=Per+kilogram&amp;By+stage+of+supply+chain=false" TargetMode="External"/><Relationship Id="rId2" Type="http://schemas.openxmlformats.org/officeDocument/2006/relationships/hyperlink" Target="https://esajournals.onlinelibrary.wiley.com/doi/abs/10.1002/fee.1482" TargetMode="External"/><Relationship Id="rId1" Type="http://schemas.openxmlformats.org/officeDocument/2006/relationships/hyperlink" Target="https://revistas.unl.edu.ec/index.php/cedamaz/article/view/62" TargetMode="External"/><Relationship Id="rId5" Type="http://schemas.openxmlformats.org/officeDocument/2006/relationships/table" Target="../tables/table1.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77A19-D562-468F-A6B1-4D2EE45FAEA6}">
  <sheetPr>
    <tabColor theme="3" tint="-0.499984740745262"/>
  </sheetPr>
  <dimension ref="A1:M27"/>
  <sheetViews>
    <sheetView showGridLines="0" tabSelected="1" zoomScale="112" zoomScaleNormal="112" workbookViewId="0">
      <selection activeCell="B2" sqref="B2:L2"/>
    </sheetView>
  </sheetViews>
  <sheetFormatPr baseColWidth="10" defaultColWidth="0" defaultRowHeight="14.25" zeroHeight="1" x14ac:dyDescent="0.2"/>
  <cols>
    <col min="1" max="1" width="2.625" customWidth="1"/>
    <col min="2" max="12" width="11" customWidth="1"/>
    <col min="13" max="13" width="2.625" customWidth="1"/>
    <col min="14" max="16384" width="11" hidden="1"/>
  </cols>
  <sheetData>
    <row r="1" spans="1:13" x14ac:dyDescent="0.2">
      <c r="A1" s="510"/>
      <c r="B1" s="510"/>
      <c r="C1" s="510"/>
      <c r="D1" s="510"/>
      <c r="E1" s="510"/>
      <c r="F1" s="510"/>
      <c r="G1" s="510"/>
      <c r="H1" s="510"/>
      <c r="I1" s="510"/>
      <c r="J1" s="510"/>
      <c r="K1" s="510"/>
      <c r="L1" s="510"/>
      <c r="M1" s="510"/>
    </row>
    <row r="2" spans="1:13" ht="25.5" x14ac:dyDescent="0.2">
      <c r="A2" s="510"/>
      <c r="B2" s="550" t="s">
        <v>0</v>
      </c>
      <c r="C2" s="550"/>
      <c r="D2" s="550"/>
      <c r="E2" s="550"/>
      <c r="F2" s="550"/>
      <c r="G2" s="550"/>
      <c r="H2" s="550"/>
      <c r="I2" s="550"/>
      <c r="J2" s="550"/>
      <c r="K2" s="550"/>
      <c r="L2" s="550"/>
      <c r="M2" s="510"/>
    </row>
    <row r="3" spans="1:13" x14ac:dyDescent="0.2">
      <c r="A3" s="510"/>
      <c r="B3" s="510"/>
      <c r="C3" s="510"/>
      <c r="D3" s="510"/>
      <c r="E3" s="510"/>
      <c r="F3" s="510"/>
      <c r="G3" s="510"/>
      <c r="H3" s="510"/>
      <c r="I3" s="510"/>
      <c r="J3" s="510"/>
      <c r="K3" s="510"/>
      <c r="L3" s="510"/>
      <c r="M3" s="510"/>
    </row>
    <row r="4" spans="1:13" x14ac:dyDescent="0.2">
      <c r="A4" s="511"/>
      <c r="B4" s="511"/>
      <c r="C4" s="511"/>
      <c r="D4" s="511"/>
      <c r="E4" s="511"/>
      <c r="F4" s="511"/>
      <c r="G4" s="511"/>
      <c r="H4" s="511"/>
      <c r="I4" s="511"/>
      <c r="J4" s="511"/>
      <c r="K4" s="511"/>
      <c r="L4" s="511"/>
      <c r="M4" s="511"/>
    </row>
    <row r="5" spans="1:13" x14ac:dyDescent="0.2">
      <c r="A5" s="511"/>
      <c r="B5" s="511"/>
      <c r="C5" s="511"/>
      <c r="D5" s="511"/>
      <c r="E5" s="511"/>
      <c r="F5" s="511"/>
      <c r="G5" s="511"/>
      <c r="H5" s="511"/>
      <c r="I5" s="511"/>
      <c r="J5" s="511"/>
      <c r="K5" s="511"/>
      <c r="L5" s="511"/>
      <c r="M5" s="511"/>
    </row>
    <row r="6" spans="1:13" x14ac:dyDescent="0.2">
      <c r="A6" s="511"/>
      <c r="B6" s="511"/>
      <c r="C6" s="511"/>
      <c r="D6" s="511"/>
      <c r="E6" s="511"/>
      <c r="F6" s="511"/>
      <c r="G6" s="511"/>
      <c r="H6" s="511"/>
      <c r="I6" s="511"/>
      <c r="J6" s="511"/>
      <c r="K6" s="511"/>
      <c r="L6" s="511"/>
      <c r="M6" s="511"/>
    </row>
    <row r="7" spans="1:13" x14ac:dyDescent="0.2">
      <c r="A7" s="511"/>
      <c r="B7" s="511"/>
      <c r="C7" s="511"/>
      <c r="D7" s="511"/>
      <c r="E7" s="511"/>
      <c r="F7" s="511"/>
      <c r="G7" s="511"/>
      <c r="H7" s="511"/>
      <c r="I7" s="511"/>
      <c r="J7" s="511"/>
      <c r="K7" s="511"/>
      <c r="L7" s="511"/>
      <c r="M7" s="511"/>
    </row>
    <row r="8" spans="1:13" x14ac:dyDescent="0.2">
      <c r="A8" s="511"/>
      <c r="B8" s="511"/>
      <c r="C8" s="511"/>
      <c r="D8" s="511"/>
      <c r="E8" s="511"/>
      <c r="F8" s="511"/>
      <c r="G8" s="511"/>
      <c r="H8" s="511"/>
      <c r="I8" s="511"/>
      <c r="J8" s="511"/>
      <c r="K8" s="511"/>
      <c r="L8" s="511"/>
      <c r="M8" s="511"/>
    </row>
    <row r="9" spans="1:13" x14ac:dyDescent="0.2">
      <c r="A9" s="511"/>
      <c r="B9" s="511"/>
      <c r="C9" s="511"/>
      <c r="D9" s="511"/>
      <c r="E9" s="511"/>
      <c r="F9" s="511"/>
      <c r="G9" s="511"/>
      <c r="H9" s="511"/>
      <c r="I9" s="511"/>
      <c r="J9" s="511"/>
      <c r="K9" s="511"/>
      <c r="L9" s="511"/>
      <c r="M9" s="511"/>
    </row>
    <row r="10" spans="1:13" x14ac:dyDescent="0.2">
      <c r="A10" s="511"/>
      <c r="B10" s="511"/>
      <c r="C10" s="511"/>
      <c r="D10" s="511"/>
      <c r="E10" s="511"/>
      <c r="F10" s="511"/>
      <c r="G10" s="511"/>
      <c r="H10" s="511"/>
      <c r="I10" s="511"/>
      <c r="J10" s="511"/>
      <c r="K10" s="511"/>
      <c r="L10" s="511"/>
      <c r="M10" s="511"/>
    </row>
    <row r="11" spans="1:13" x14ac:dyDescent="0.2">
      <c r="A11" s="511"/>
      <c r="B11" s="511"/>
      <c r="C11" s="511"/>
      <c r="D11" s="511"/>
      <c r="E11" s="511"/>
      <c r="F11" s="511"/>
      <c r="G11" s="511"/>
      <c r="H11" s="511"/>
      <c r="I11" s="511"/>
      <c r="J11" s="511"/>
      <c r="K11" s="511"/>
      <c r="L11" s="511"/>
      <c r="M11" s="511"/>
    </row>
    <row r="12" spans="1:13" x14ac:dyDescent="0.2">
      <c r="A12" s="511"/>
      <c r="B12" s="511"/>
      <c r="C12" s="511"/>
      <c r="D12" s="511"/>
      <c r="E12" s="511"/>
      <c r="F12" s="511"/>
      <c r="G12" s="511"/>
      <c r="H12" s="511"/>
      <c r="I12" s="511"/>
      <c r="J12" s="511"/>
      <c r="K12" s="511"/>
      <c r="L12" s="511"/>
      <c r="M12" s="511"/>
    </row>
    <row r="13" spans="1:13" x14ac:dyDescent="0.2">
      <c r="A13" s="511"/>
      <c r="B13" s="511"/>
      <c r="C13" s="511"/>
      <c r="D13" s="511"/>
      <c r="E13" s="511"/>
      <c r="F13" s="511"/>
      <c r="G13" s="511"/>
      <c r="H13" s="511"/>
      <c r="I13" s="511"/>
      <c r="J13" s="511"/>
      <c r="K13" s="511"/>
      <c r="L13" s="511"/>
      <c r="M13" s="511"/>
    </row>
    <row r="14" spans="1:13" x14ac:dyDescent="0.2">
      <c r="A14" s="511"/>
      <c r="B14" s="511"/>
      <c r="C14" s="511"/>
      <c r="D14" s="511"/>
      <c r="E14" s="511"/>
      <c r="F14" s="511"/>
      <c r="G14" s="511"/>
      <c r="H14" s="511"/>
      <c r="I14" s="511"/>
      <c r="J14" s="511"/>
      <c r="K14" s="511"/>
      <c r="L14" s="511"/>
      <c r="M14" s="511"/>
    </row>
    <row r="15" spans="1:13" x14ac:dyDescent="0.2">
      <c r="A15" s="511"/>
      <c r="B15" s="511"/>
      <c r="C15" s="511"/>
      <c r="D15" s="511"/>
      <c r="E15" s="511"/>
      <c r="F15" s="511"/>
      <c r="G15" s="511"/>
      <c r="H15" s="511"/>
      <c r="I15" s="511"/>
      <c r="J15" s="511"/>
      <c r="K15" s="511"/>
      <c r="L15" s="511"/>
      <c r="M15" s="511"/>
    </row>
    <row r="16" spans="1:13" x14ac:dyDescent="0.2">
      <c r="A16" s="511"/>
      <c r="B16" s="511"/>
      <c r="C16" s="511"/>
      <c r="D16" s="511"/>
      <c r="E16" s="511"/>
      <c r="F16" s="511"/>
      <c r="G16" s="511"/>
      <c r="H16" s="511"/>
      <c r="I16" s="511"/>
      <c r="J16" s="511"/>
      <c r="K16" s="511"/>
      <c r="L16" s="511"/>
      <c r="M16" s="511"/>
    </row>
    <row r="17" spans="1:13" x14ac:dyDescent="0.2">
      <c r="A17" s="511"/>
      <c r="B17" s="511"/>
      <c r="C17" s="511"/>
      <c r="D17" s="511"/>
      <c r="E17" s="511"/>
      <c r="F17" s="511"/>
      <c r="G17" s="511"/>
      <c r="H17" s="511"/>
      <c r="I17" s="511"/>
      <c r="J17" s="511"/>
      <c r="K17" s="511"/>
      <c r="L17" s="511"/>
      <c r="M17" s="511"/>
    </row>
    <row r="18" spans="1:13" x14ac:dyDescent="0.2">
      <c r="A18" s="511"/>
      <c r="B18" s="511"/>
      <c r="C18" s="511"/>
      <c r="D18" s="511"/>
      <c r="E18" s="511"/>
      <c r="F18" s="511"/>
      <c r="G18" s="511"/>
      <c r="H18" s="511"/>
      <c r="I18" s="511"/>
      <c r="J18" s="511"/>
      <c r="K18" s="511"/>
      <c r="L18" s="511"/>
      <c r="M18" s="511"/>
    </row>
    <row r="19" spans="1:13" x14ac:dyDescent="0.2">
      <c r="A19" s="511"/>
      <c r="B19" s="511"/>
      <c r="C19" s="511"/>
      <c r="D19" s="511"/>
      <c r="E19" s="511"/>
      <c r="F19" s="511"/>
      <c r="G19" s="511"/>
      <c r="H19" s="511"/>
      <c r="I19" s="511"/>
      <c r="J19" s="511"/>
      <c r="K19" s="511"/>
      <c r="L19" s="511"/>
      <c r="M19" s="511"/>
    </row>
    <row r="20" spans="1:13" x14ac:dyDescent="0.2">
      <c r="A20" s="511"/>
      <c r="B20" s="511"/>
      <c r="C20" s="511"/>
      <c r="D20" s="511"/>
      <c r="E20" s="511"/>
      <c r="F20" s="511"/>
      <c r="G20" s="511"/>
      <c r="H20" s="511"/>
      <c r="I20" s="511"/>
      <c r="J20" s="511"/>
      <c r="K20" s="511"/>
      <c r="L20" s="511"/>
      <c r="M20" s="511"/>
    </row>
    <row r="21" spans="1:13" x14ac:dyDescent="0.2">
      <c r="A21" s="511"/>
      <c r="B21" s="511"/>
      <c r="C21" s="511"/>
      <c r="D21" s="511"/>
      <c r="E21" s="511"/>
      <c r="F21" s="511"/>
      <c r="G21" s="511"/>
      <c r="H21" s="511"/>
      <c r="I21" s="511"/>
      <c r="J21" s="511"/>
      <c r="K21" s="511"/>
      <c r="L21" s="511"/>
      <c r="M21" s="511"/>
    </row>
    <row r="22" spans="1:13" x14ac:dyDescent="0.2">
      <c r="A22" s="511"/>
      <c r="B22" s="511"/>
      <c r="C22" s="511"/>
      <c r="D22" s="511"/>
      <c r="E22" s="511"/>
      <c r="F22" s="511"/>
      <c r="G22" s="511"/>
      <c r="H22" s="511"/>
      <c r="I22" s="511"/>
      <c r="J22" s="511"/>
      <c r="K22" s="511"/>
      <c r="L22" s="511"/>
      <c r="M22" s="511"/>
    </row>
    <row r="23" spans="1:13" x14ac:dyDescent="0.2">
      <c r="A23" s="511"/>
      <c r="B23" s="511"/>
      <c r="C23" s="511"/>
      <c r="D23" s="511"/>
      <c r="E23" s="511"/>
      <c r="F23" s="511"/>
      <c r="G23" s="511"/>
      <c r="H23" s="511"/>
      <c r="I23" s="511"/>
      <c r="J23" s="511"/>
      <c r="K23" s="511"/>
      <c r="L23" s="511"/>
      <c r="M23" s="511"/>
    </row>
    <row r="24" spans="1:13" x14ac:dyDescent="0.2">
      <c r="A24" s="511"/>
      <c r="B24" s="511"/>
      <c r="C24" s="511"/>
      <c r="D24" s="511"/>
      <c r="E24" s="511"/>
      <c r="F24" s="511"/>
      <c r="G24" s="511"/>
      <c r="H24" s="511"/>
      <c r="I24" s="511"/>
      <c r="J24" s="511"/>
      <c r="K24" s="511"/>
      <c r="L24" s="511"/>
      <c r="M24" s="511"/>
    </row>
    <row r="25" spans="1:13" x14ac:dyDescent="0.2">
      <c r="A25" s="511"/>
      <c r="B25" s="511"/>
      <c r="C25" s="511"/>
      <c r="D25" s="511"/>
      <c r="E25" s="511"/>
      <c r="F25" s="511"/>
      <c r="G25" s="511"/>
      <c r="H25" s="511"/>
      <c r="I25" s="511"/>
      <c r="J25" s="511"/>
      <c r="K25" s="511"/>
      <c r="L25" s="511"/>
      <c r="M25" s="511"/>
    </row>
    <row r="27" spans="1:13" hidden="1" x14ac:dyDescent="0.2">
      <c r="K27" t="s">
        <v>1</v>
      </c>
    </row>
  </sheetData>
  <sheetProtection algorithmName="SHA-512" hashValue="IIlK78aZfZYa2yOy5s9xxRVJbDLshI21JNWGLe+HQPOepwIJ8ERhbtryJaa8wQSSciKv6BgOIIjobxVHgeWHWw==" saltValue="xFeuvzDVxd645JGQxqOInQ==" spinCount="100000" sheet="1" objects="1" scenarios="1"/>
  <mergeCells count="1">
    <mergeCell ref="B2:L2"/>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252D3-4A32-4043-98E5-528A69FB895D}">
  <sheetPr>
    <tabColor theme="3" tint="-0.249977111117893"/>
  </sheetPr>
  <dimension ref="A1:Q167"/>
  <sheetViews>
    <sheetView topLeftCell="A127" zoomScale="110" zoomScaleNormal="110" workbookViewId="0">
      <selection activeCell="O157" sqref="O157:O160"/>
    </sheetView>
  </sheetViews>
  <sheetFormatPr baseColWidth="10" defaultColWidth="0" defaultRowHeight="14.25" zeroHeight="1" x14ac:dyDescent="0.2"/>
  <cols>
    <col min="1" max="1" width="2.625" customWidth="1"/>
    <col min="2" max="5" width="11" customWidth="1"/>
    <col min="6" max="6" width="3.625" customWidth="1"/>
    <col min="7" max="7" width="11" customWidth="1"/>
    <col min="8" max="8" width="2.625" customWidth="1"/>
    <col min="9" max="9" width="7.375" customWidth="1"/>
    <col min="10" max="10" width="11" customWidth="1"/>
    <col min="11" max="12" width="2.625" customWidth="1"/>
    <col min="13" max="13" width="11" customWidth="1"/>
    <col min="14" max="14" width="2.625" customWidth="1"/>
    <col min="15" max="17" width="11" customWidth="1"/>
    <col min="18" max="16384" width="11" hidden="1"/>
  </cols>
  <sheetData>
    <row r="1" spans="1:17" x14ac:dyDescent="0.2">
      <c r="A1" s="2"/>
      <c r="B1" s="2"/>
      <c r="C1" s="3"/>
      <c r="D1" s="4"/>
      <c r="E1" s="4"/>
      <c r="F1" s="4"/>
      <c r="G1" s="4"/>
      <c r="H1" s="4"/>
      <c r="I1" s="4"/>
      <c r="J1" s="4"/>
      <c r="K1" s="4"/>
      <c r="L1" s="4"/>
      <c r="M1" s="4"/>
      <c r="N1" s="4"/>
      <c r="O1" s="4"/>
      <c r="P1" s="4"/>
      <c r="Q1" s="4"/>
    </row>
    <row r="2" spans="1:17" x14ac:dyDescent="0.2">
      <c r="A2" s="2"/>
      <c r="B2" s="2"/>
      <c r="C2" s="3"/>
      <c r="D2" s="4"/>
      <c r="E2" s="4"/>
      <c r="F2" s="4"/>
      <c r="G2" s="4"/>
      <c r="H2" s="4"/>
      <c r="I2" s="4"/>
      <c r="J2" s="4"/>
      <c r="K2" s="4"/>
      <c r="L2" s="4"/>
      <c r="M2" s="4"/>
      <c r="N2" s="4"/>
      <c r="O2" s="4"/>
      <c r="P2" s="4"/>
      <c r="Q2" s="4"/>
    </row>
    <row r="3" spans="1:17" x14ac:dyDescent="0.2">
      <c r="A3" s="2"/>
      <c r="B3" s="2"/>
      <c r="C3" s="713"/>
      <c r="D3" s="713"/>
      <c r="E3" s="713"/>
      <c r="F3" s="713"/>
      <c r="G3" s="713"/>
      <c r="H3" s="713"/>
      <c r="I3" s="713"/>
      <c r="J3" s="713"/>
      <c r="K3" s="713"/>
      <c r="L3" s="713"/>
      <c r="M3" s="713"/>
      <c r="N3" s="4"/>
      <c r="O3" s="4"/>
      <c r="P3" s="4"/>
      <c r="Q3" s="4"/>
    </row>
    <row r="4" spans="1:17" x14ac:dyDescent="0.2">
      <c r="A4" s="2"/>
      <c r="B4" s="2"/>
      <c r="C4" s="5"/>
      <c r="D4" s="5"/>
      <c r="E4" s="5"/>
      <c r="F4" s="5"/>
      <c r="G4" s="5"/>
      <c r="H4" s="5"/>
      <c r="I4" s="5"/>
      <c r="J4" s="5"/>
      <c r="K4" s="18"/>
      <c r="L4" s="18"/>
      <c r="M4" s="18"/>
      <c r="N4" s="4"/>
      <c r="O4" s="4"/>
      <c r="P4" s="4"/>
      <c r="Q4" s="4"/>
    </row>
    <row r="5" spans="1:17" x14ac:dyDescent="0.2">
      <c r="A5" s="2"/>
      <c r="B5" s="2"/>
      <c r="C5" s="5"/>
      <c r="D5" s="5"/>
      <c r="E5" s="5"/>
      <c r="F5" s="228"/>
      <c r="G5" s="338" t="s">
        <v>116</v>
      </c>
      <c r="H5" s="5"/>
      <c r="I5" s="5"/>
      <c r="J5" s="5"/>
      <c r="K5" s="18"/>
      <c r="L5" s="18"/>
      <c r="M5" s="18"/>
      <c r="N5" s="4"/>
      <c r="O5" s="4"/>
      <c r="P5" s="4"/>
      <c r="Q5" s="4"/>
    </row>
    <row r="6" spans="1:17" x14ac:dyDescent="0.2">
      <c r="A6" s="2"/>
      <c r="B6" s="2"/>
      <c r="C6" s="5"/>
      <c r="D6" s="5"/>
      <c r="E6" s="5"/>
      <c r="F6" s="228"/>
      <c r="G6" s="338" t="s">
        <v>117</v>
      </c>
      <c r="H6" s="5"/>
      <c r="I6" s="5"/>
      <c r="J6" s="5"/>
      <c r="K6" s="18"/>
      <c r="L6" s="18"/>
      <c r="M6" s="18"/>
      <c r="N6" s="4"/>
      <c r="O6" s="4"/>
      <c r="P6" s="4"/>
      <c r="Q6" s="4"/>
    </row>
    <row r="7" spans="1:17" x14ac:dyDescent="0.2">
      <c r="A7" s="2"/>
      <c r="B7" s="2"/>
      <c r="C7" s="5"/>
      <c r="D7" s="5"/>
      <c r="E7" s="5"/>
      <c r="F7" s="228"/>
      <c r="G7" s="338" t="s">
        <v>118</v>
      </c>
      <c r="H7" s="5"/>
      <c r="I7" s="5"/>
      <c r="J7" s="5"/>
      <c r="K7" s="18"/>
      <c r="L7" s="18"/>
      <c r="M7" s="18"/>
      <c r="N7" s="4"/>
      <c r="O7" s="4"/>
      <c r="P7" s="4"/>
      <c r="Q7" s="4"/>
    </row>
    <row r="8" spans="1:17" x14ac:dyDescent="0.2">
      <c r="A8" s="2"/>
      <c r="B8" s="2"/>
      <c r="C8" s="5"/>
      <c r="D8" s="5"/>
      <c r="E8" s="5"/>
      <c r="F8" s="228"/>
      <c r="G8" s="338" t="s">
        <v>119</v>
      </c>
      <c r="H8" s="5"/>
      <c r="I8" s="5"/>
      <c r="J8" s="5"/>
      <c r="K8" s="18"/>
      <c r="L8" s="18"/>
      <c r="M8" s="18"/>
      <c r="N8" s="4"/>
      <c r="O8" s="4"/>
      <c r="P8" s="4"/>
      <c r="Q8" s="4"/>
    </row>
    <row r="9" spans="1:17" x14ac:dyDescent="0.2">
      <c r="A9" s="2"/>
      <c r="B9" s="2"/>
      <c r="C9" s="5"/>
      <c r="D9" s="5"/>
      <c r="E9" s="5"/>
      <c r="F9" s="228"/>
      <c r="G9" s="338" t="s">
        <v>625</v>
      </c>
      <c r="H9" s="5"/>
      <c r="I9" s="5"/>
      <c r="J9" s="5"/>
      <c r="K9" s="18"/>
      <c r="L9" s="18"/>
      <c r="M9" s="18"/>
      <c r="N9" s="4"/>
      <c r="O9" s="4"/>
      <c r="P9" s="4"/>
      <c r="Q9" s="4"/>
    </row>
    <row r="10" spans="1:17" x14ac:dyDescent="0.2">
      <c r="A10" s="2"/>
      <c r="B10" s="2"/>
      <c r="C10" s="5"/>
      <c r="D10" s="5"/>
      <c r="E10" s="5"/>
      <c r="F10" s="228"/>
      <c r="G10" s="338" t="s">
        <v>626</v>
      </c>
      <c r="H10" s="5"/>
      <c r="I10" s="5"/>
      <c r="J10" s="5"/>
      <c r="K10" s="18"/>
      <c r="L10" s="18"/>
      <c r="M10" s="18"/>
      <c r="N10" s="4"/>
      <c r="O10" s="4"/>
      <c r="P10" s="4"/>
      <c r="Q10" s="4"/>
    </row>
    <row r="11" spans="1:17" x14ac:dyDescent="0.2">
      <c r="A11" s="2"/>
      <c r="B11" s="2"/>
      <c r="C11" s="5"/>
      <c r="D11" s="5"/>
      <c r="E11" s="5"/>
      <c r="F11" s="228"/>
      <c r="G11" s="338" t="s">
        <v>704</v>
      </c>
      <c r="H11" s="5"/>
      <c r="I11" s="5"/>
      <c r="J11" s="5"/>
      <c r="K11" s="18"/>
      <c r="L11" s="18"/>
      <c r="M11" s="18"/>
      <c r="N11" s="4"/>
      <c r="O11" s="4"/>
      <c r="P11" s="4"/>
      <c r="Q11" s="4"/>
    </row>
    <row r="12" spans="1:17" x14ac:dyDescent="0.2">
      <c r="A12" s="2"/>
      <c r="B12" s="2"/>
      <c r="C12" s="5"/>
      <c r="D12" s="5"/>
      <c r="E12" s="5"/>
      <c r="F12" s="228"/>
      <c r="G12" s="546" t="s">
        <v>627</v>
      </c>
      <c r="H12" s="5"/>
      <c r="I12" s="5"/>
      <c r="J12" s="5"/>
      <c r="K12" s="18"/>
      <c r="L12" s="18"/>
      <c r="M12" s="18"/>
      <c r="N12" s="4"/>
      <c r="O12" s="4"/>
      <c r="P12" s="4"/>
      <c r="Q12" s="4"/>
    </row>
    <row r="13" spans="1:17" x14ac:dyDescent="0.2">
      <c r="A13" s="2"/>
      <c r="B13" s="2"/>
      <c r="C13" s="5"/>
      <c r="D13" s="5"/>
      <c r="E13" s="5"/>
      <c r="F13" s="228"/>
      <c r="G13" s="338" t="s">
        <v>628</v>
      </c>
      <c r="H13" s="5"/>
      <c r="I13" s="5"/>
      <c r="J13" s="5"/>
      <c r="K13" s="18"/>
      <c r="L13" s="18"/>
      <c r="M13" s="18"/>
      <c r="N13" s="4"/>
      <c r="O13" s="4"/>
      <c r="P13" s="4"/>
      <c r="Q13" s="4"/>
    </row>
    <row r="14" spans="1:17" x14ac:dyDescent="0.2">
      <c r="A14" s="2"/>
      <c r="B14" s="2"/>
      <c r="C14" s="5"/>
      <c r="D14" s="5"/>
      <c r="E14" s="5"/>
      <c r="F14" s="228"/>
      <c r="G14" s="338" t="s">
        <v>629</v>
      </c>
      <c r="H14" s="5"/>
      <c r="I14" s="5"/>
      <c r="J14" s="5"/>
      <c r="K14" s="18"/>
      <c r="L14" s="18"/>
      <c r="M14" s="18"/>
      <c r="N14" s="4"/>
      <c r="O14" s="4"/>
      <c r="P14" s="4"/>
      <c r="Q14" s="4"/>
    </row>
    <row r="15" spans="1:17" x14ac:dyDescent="0.2">
      <c r="A15" s="2"/>
      <c r="B15" s="2"/>
      <c r="C15" s="5"/>
      <c r="D15" s="5"/>
      <c r="E15" s="5"/>
      <c r="F15" s="228"/>
      <c r="G15" s="338" t="s">
        <v>630</v>
      </c>
      <c r="H15" s="5"/>
      <c r="I15" s="5"/>
      <c r="J15" s="5"/>
      <c r="K15" s="18"/>
      <c r="L15" s="18"/>
      <c r="M15" s="18"/>
      <c r="N15" s="4"/>
      <c r="O15" s="4"/>
      <c r="P15" s="4"/>
      <c r="Q15" s="4"/>
    </row>
    <row r="16" spans="1:17" x14ac:dyDescent="0.2">
      <c r="A16" s="2"/>
      <c r="B16" s="2"/>
      <c r="C16" s="5"/>
      <c r="D16" s="5"/>
      <c r="E16" s="5"/>
      <c r="F16" s="5"/>
      <c r="G16" s="5"/>
      <c r="H16" s="5"/>
      <c r="I16" s="5"/>
      <c r="J16" s="5"/>
      <c r="K16" s="18"/>
      <c r="L16" s="18"/>
      <c r="M16" s="18"/>
      <c r="N16" s="4"/>
      <c r="O16" s="4"/>
      <c r="P16" s="529"/>
      <c r="Q16" s="4"/>
    </row>
    <row r="17" spans="1:17" x14ac:dyDescent="0.2">
      <c r="A17" s="2"/>
      <c r="B17" s="2"/>
      <c r="C17" s="3"/>
      <c r="D17" s="4"/>
      <c r="E17" s="4"/>
      <c r="F17" s="4"/>
      <c r="G17" s="4"/>
      <c r="H17" s="4"/>
      <c r="I17" s="4"/>
      <c r="J17" s="4"/>
      <c r="K17" s="4"/>
      <c r="L17" s="4"/>
      <c r="M17" s="4"/>
      <c r="N17" s="4"/>
      <c r="O17" s="4"/>
      <c r="P17" s="4"/>
      <c r="Q17" s="4"/>
    </row>
    <row r="18" spans="1:17" ht="30" customHeight="1" x14ac:dyDescent="0.2">
      <c r="A18" s="2"/>
      <c r="B18" s="2"/>
      <c r="C18" s="3"/>
      <c r="D18" s="4"/>
      <c r="E18" s="77" t="s">
        <v>246</v>
      </c>
      <c r="F18" s="719" t="s">
        <v>2</v>
      </c>
      <c r="G18" s="719"/>
      <c r="H18" s="719"/>
      <c r="I18" s="719"/>
      <c r="J18" s="722" t="s">
        <v>278</v>
      </c>
      <c r="K18" s="722"/>
      <c r="L18" s="722"/>
      <c r="M18" s="722"/>
      <c r="N18" s="722"/>
      <c r="O18" s="722"/>
      <c r="P18" s="722"/>
      <c r="Q18" s="4"/>
    </row>
    <row r="19" spans="1:17" ht="20.100000000000001" customHeight="1" x14ac:dyDescent="0.2">
      <c r="A19" s="2"/>
      <c r="B19" s="2"/>
      <c r="C19" s="3"/>
      <c r="D19" s="4"/>
      <c r="E19" s="4"/>
      <c r="F19" s="719" t="s">
        <v>3</v>
      </c>
      <c r="G19" s="719"/>
      <c r="H19" s="719"/>
      <c r="I19" s="719"/>
      <c r="J19" s="722" t="s">
        <v>277</v>
      </c>
      <c r="K19" s="722"/>
      <c r="L19" s="722"/>
      <c r="M19" s="722"/>
      <c r="N19" s="722"/>
      <c r="O19" s="722"/>
      <c r="P19" s="722"/>
      <c r="Q19" s="4"/>
    </row>
    <row r="20" spans="1:17" ht="99.95" customHeight="1" x14ac:dyDescent="0.2">
      <c r="A20" s="2"/>
      <c r="B20" s="2"/>
      <c r="C20" s="3"/>
      <c r="D20" s="4"/>
      <c r="E20" s="4"/>
      <c r="F20" s="719" t="s">
        <v>4</v>
      </c>
      <c r="G20" s="719"/>
      <c r="H20" s="719"/>
      <c r="I20" s="719"/>
      <c r="J20" s="720" t="s">
        <v>282</v>
      </c>
      <c r="K20" s="720"/>
      <c r="L20" s="720"/>
      <c r="M20" s="720"/>
      <c r="N20" s="720"/>
      <c r="O20" s="720"/>
      <c r="P20" s="720"/>
      <c r="Q20" s="4"/>
    </row>
    <row r="21" spans="1:17" x14ac:dyDescent="0.2">
      <c r="A21" s="2"/>
      <c r="B21" s="2"/>
      <c r="C21" s="3"/>
      <c r="D21" s="4"/>
      <c r="E21" s="4"/>
      <c r="F21" s="4"/>
      <c r="G21" s="4"/>
      <c r="H21" s="4"/>
      <c r="I21" s="4"/>
      <c r="J21" s="4"/>
      <c r="K21" s="4"/>
      <c r="L21" s="4"/>
      <c r="M21" s="4"/>
      <c r="N21" s="4"/>
      <c r="O21" s="4"/>
      <c r="P21" s="4"/>
      <c r="Q21" s="4"/>
    </row>
    <row r="22" spans="1:17" ht="15" x14ac:dyDescent="0.2">
      <c r="A22" s="2"/>
      <c r="B22" s="2"/>
      <c r="C22" s="3"/>
      <c r="D22" s="4"/>
      <c r="E22" s="4"/>
      <c r="F22" s="721" t="s">
        <v>20</v>
      </c>
      <c r="G22" s="721"/>
      <c r="H22" s="721"/>
      <c r="I22" s="721"/>
      <c r="J22" s="721"/>
      <c r="K22" s="721"/>
      <c r="L22" s="721"/>
      <c r="M22" s="721"/>
      <c r="N22" s="721"/>
      <c r="O22" s="721"/>
      <c r="P22" s="721"/>
      <c r="Q22" s="4"/>
    </row>
    <row r="23" spans="1:17" ht="9.9499999999999993" customHeight="1" x14ac:dyDescent="0.2">
      <c r="A23" s="2"/>
      <c r="B23" s="2"/>
      <c r="C23" s="3"/>
      <c r="D23" s="4"/>
      <c r="E23" s="4"/>
      <c r="F23" s="4"/>
      <c r="G23" s="4"/>
      <c r="H23" s="4"/>
      <c r="I23" s="4"/>
      <c r="J23" s="4"/>
      <c r="K23" s="4"/>
      <c r="L23" s="4"/>
      <c r="M23" s="4"/>
      <c r="N23" s="4"/>
      <c r="O23" s="4"/>
      <c r="P23" s="4"/>
      <c r="Q23" s="4"/>
    </row>
    <row r="24" spans="1:17" ht="9.9499999999999993" customHeight="1" x14ac:dyDescent="0.2">
      <c r="A24" s="2"/>
      <c r="B24" s="2"/>
      <c r="C24" s="3"/>
      <c r="D24" s="4"/>
      <c r="E24" s="4"/>
      <c r="F24" s="377" t="s">
        <v>1115</v>
      </c>
      <c r="G24" s="4"/>
      <c r="H24" s="4"/>
      <c r="I24" s="4"/>
      <c r="J24" s="4"/>
      <c r="K24" s="4"/>
      <c r="L24" s="4"/>
      <c r="M24" s="4"/>
      <c r="N24" s="4"/>
      <c r="O24" s="4"/>
      <c r="P24" s="4"/>
      <c r="Q24" s="4"/>
    </row>
    <row r="25" spans="1:17" ht="9.9499999999999993" customHeight="1" x14ac:dyDescent="0.2">
      <c r="A25" s="2"/>
      <c r="B25" s="2"/>
      <c r="C25" s="3"/>
      <c r="D25" s="4"/>
      <c r="E25" s="4"/>
      <c r="F25" s="4"/>
      <c r="G25" s="4"/>
      <c r="H25" s="4"/>
      <c r="I25" s="4"/>
      <c r="J25" s="4"/>
      <c r="K25" s="4"/>
      <c r="L25" s="4"/>
      <c r="M25" s="4"/>
      <c r="N25" s="4"/>
      <c r="O25" s="4"/>
      <c r="P25" s="4"/>
      <c r="Q25" s="4"/>
    </row>
    <row r="26" spans="1:17" ht="30" customHeight="1" x14ac:dyDescent="0.2">
      <c r="A26" s="2"/>
      <c r="B26" s="2"/>
      <c r="C26" s="3"/>
      <c r="D26" s="4"/>
      <c r="E26" s="4"/>
      <c r="F26" s="377" t="s">
        <v>1030</v>
      </c>
      <c r="G26" s="4"/>
      <c r="H26" s="4"/>
      <c r="I26" s="4"/>
      <c r="J26" s="4"/>
      <c r="K26" s="4"/>
      <c r="L26" s="4"/>
      <c r="M26" s="716" t="s">
        <v>253</v>
      </c>
      <c r="N26" s="716"/>
      <c r="O26" s="716"/>
      <c r="P26" s="716"/>
      <c r="Q26" s="4"/>
    </row>
    <row r="27" spans="1:17" x14ac:dyDescent="0.2">
      <c r="A27" s="2"/>
      <c r="B27" s="2"/>
      <c r="C27" s="3"/>
      <c r="D27" s="4"/>
      <c r="E27" s="4"/>
      <c r="F27" s="17" t="s">
        <v>1036</v>
      </c>
      <c r="G27" s="17"/>
      <c r="H27" s="17"/>
      <c r="I27" s="4"/>
      <c r="J27" s="4"/>
      <c r="K27" s="4"/>
      <c r="L27" s="4"/>
      <c r="M27" s="4"/>
      <c r="N27" s="4"/>
      <c r="O27" s="535">
        <v>5000</v>
      </c>
      <c r="P27" s="324" t="s">
        <v>279</v>
      </c>
      <c r="Q27" s="4"/>
    </row>
    <row r="28" spans="1:17" x14ac:dyDescent="0.2">
      <c r="A28" s="2"/>
      <c r="B28" s="2"/>
      <c r="C28" s="3"/>
      <c r="D28" s="4"/>
      <c r="E28" s="4"/>
      <c r="F28" s="4"/>
      <c r="G28" s="4"/>
      <c r="H28" s="4"/>
      <c r="I28" s="4"/>
      <c r="J28" s="4"/>
      <c r="K28" s="4"/>
      <c r="L28" s="4"/>
      <c r="M28" s="4"/>
      <c r="N28" s="4"/>
      <c r="O28" s="4"/>
      <c r="P28" s="4"/>
      <c r="Q28" s="4"/>
    </row>
    <row r="29" spans="1:17" x14ac:dyDescent="0.2">
      <c r="A29" s="2"/>
      <c r="B29" s="2"/>
      <c r="C29" s="3"/>
      <c r="D29" s="4"/>
      <c r="E29" s="4"/>
      <c r="F29" s="4"/>
      <c r="G29" s="4"/>
      <c r="H29" s="4"/>
      <c r="I29" s="4"/>
      <c r="J29" s="4"/>
      <c r="K29" s="4"/>
      <c r="L29" s="4"/>
      <c r="M29" s="4"/>
      <c r="N29" s="4"/>
      <c r="O29" s="4"/>
      <c r="P29" s="4"/>
      <c r="Q29" s="4"/>
    </row>
    <row r="30" spans="1:17" ht="20.100000000000001" customHeight="1" x14ac:dyDescent="0.2">
      <c r="A30" s="2"/>
      <c r="B30" s="2"/>
      <c r="C30" s="3"/>
      <c r="D30" s="4"/>
      <c r="E30" s="725" t="s">
        <v>283</v>
      </c>
      <c r="F30" s="719" t="s">
        <v>2</v>
      </c>
      <c r="G30" s="719"/>
      <c r="H30" s="719"/>
      <c r="I30" s="719"/>
      <c r="J30" s="722" t="s">
        <v>286</v>
      </c>
      <c r="K30" s="722"/>
      <c r="L30" s="722"/>
      <c r="M30" s="722"/>
      <c r="N30" s="722"/>
      <c r="O30" s="722"/>
      <c r="P30" s="722"/>
      <c r="Q30" s="4"/>
    </row>
    <row r="31" spans="1:17" ht="20.100000000000001" customHeight="1" x14ac:dyDescent="0.2">
      <c r="A31" s="2"/>
      <c r="B31" s="2"/>
      <c r="C31" s="3"/>
      <c r="D31" s="4"/>
      <c r="E31" s="725"/>
      <c r="F31" s="719" t="s">
        <v>3</v>
      </c>
      <c r="G31" s="719"/>
      <c r="H31" s="719"/>
      <c r="I31" s="719"/>
      <c r="J31" s="722" t="s">
        <v>804</v>
      </c>
      <c r="K31" s="722"/>
      <c r="L31" s="722"/>
      <c r="M31" s="722"/>
      <c r="N31" s="722"/>
      <c r="O31" s="722"/>
      <c r="P31" s="722"/>
      <c r="Q31" s="4"/>
    </row>
    <row r="32" spans="1:17" ht="69.95" customHeight="1" x14ac:dyDescent="0.2">
      <c r="A32" s="2"/>
      <c r="B32" s="2"/>
      <c r="C32" s="3"/>
      <c r="D32" s="4"/>
      <c r="E32" s="4"/>
      <c r="F32" s="719" t="s">
        <v>50</v>
      </c>
      <c r="G32" s="719"/>
      <c r="H32" s="719"/>
      <c r="I32" s="719"/>
      <c r="J32" s="720" t="s">
        <v>527</v>
      </c>
      <c r="K32" s="720"/>
      <c r="L32" s="720"/>
      <c r="M32" s="720"/>
      <c r="N32" s="720"/>
      <c r="O32" s="720"/>
      <c r="P32" s="720"/>
      <c r="Q32" s="4"/>
    </row>
    <row r="33" spans="1:17" x14ac:dyDescent="0.2">
      <c r="A33" s="2"/>
      <c r="B33" s="2"/>
      <c r="C33" s="3"/>
      <c r="D33" s="4"/>
      <c r="E33" s="4"/>
      <c r="F33" s="4"/>
      <c r="G33" s="4"/>
      <c r="H33" s="4"/>
      <c r="I33" s="4"/>
      <c r="J33" s="4"/>
      <c r="K33" s="4"/>
      <c r="L33" s="4"/>
      <c r="M33" s="4"/>
      <c r="N33" s="4"/>
      <c r="O33" s="4"/>
      <c r="P33" s="4"/>
      <c r="Q33" s="4"/>
    </row>
    <row r="34" spans="1:17" ht="15" x14ac:dyDescent="0.2">
      <c r="A34" s="2"/>
      <c r="B34" s="2"/>
      <c r="C34" s="3"/>
      <c r="D34" s="4"/>
      <c r="E34" s="4"/>
      <c r="F34" s="721" t="s">
        <v>20</v>
      </c>
      <c r="G34" s="721"/>
      <c r="H34" s="721"/>
      <c r="I34" s="721"/>
      <c r="J34" s="721"/>
      <c r="K34" s="721"/>
      <c r="L34" s="721"/>
      <c r="M34" s="721"/>
      <c r="N34" s="721"/>
      <c r="O34" s="721"/>
      <c r="P34" s="721"/>
      <c r="Q34" s="4"/>
    </row>
    <row r="35" spans="1:17" ht="9.9499999999999993" customHeight="1" x14ac:dyDescent="0.2">
      <c r="A35" s="2"/>
      <c r="B35" s="2"/>
      <c r="C35" s="3"/>
      <c r="D35" s="4"/>
      <c r="E35" s="4"/>
      <c r="F35" s="4"/>
      <c r="G35" s="4"/>
      <c r="H35" s="4"/>
      <c r="I35" s="4"/>
      <c r="J35" s="4"/>
      <c r="K35" s="4"/>
      <c r="L35" s="4"/>
      <c r="M35" s="4"/>
      <c r="N35" s="4"/>
      <c r="O35" s="4"/>
      <c r="P35" s="4"/>
      <c r="Q35" s="4"/>
    </row>
    <row r="36" spans="1:17" x14ac:dyDescent="0.2">
      <c r="A36" s="2"/>
      <c r="B36" s="2"/>
      <c r="C36" s="3"/>
      <c r="D36" s="4"/>
      <c r="E36" s="4"/>
      <c r="F36" s="17" t="s">
        <v>1033</v>
      </c>
      <c r="G36" s="4"/>
      <c r="H36" s="4"/>
      <c r="I36" s="4"/>
      <c r="J36" s="4"/>
      <c r="K36" s="4"/>
      <c r="L36" s="4"/>
      <c r="M36" s="4"/>
      <c r="N36" s="4"/>
      <c r="O36" s="540">
        <v>1</v>
      </c>
      <c r="P36" s="541" t="s">
        <v>503</v>
      </c>
      <c r="Q36" s="4"/>
    </row>
    <row r="37" spans="1:17" x14ac:dyDescent="0.2">
      <c r="A37" s="2"/>
      <c r="B37" s="2"/>
      <c r="C37" s="3"/>
      <c r="D37" s="4"/>
      <c r="E37" s="4"/>
      <c r="F37" s="17" t="s">
        <v>1034</v>
      </c>
      <c r="G37" s="4"/>
      <c r="H37" s="4"/>
      <c r="I37" s="4"/>
      <c r="J37" s="4"/>
      <c r="K37" s="4"/>
      <c r="L37" s="4"/>
      <c r="M37" s="4"/>
      <c r="N37" s="4"/>
      <c r="O37" s="681" t="s">
        <v>508</v>
      </c>
      <c r="P37" s="681"/>
      <c r="Q37" s="4"/>
    </row>
    <row r="38" spans="1:17" x14ac:dyDescent="0.2">
      <c r="A38" s="2"/>
      <c r="B38" s="2"/>
      <c r="C38" s="3"/>
      <c r="D38" s="4"/>
      <c r="E38" s="4"/>
      <c r="F38" s="4"/>
      <c r="G38" s="4"/>
      <c r="H38" s="4"/>
      <c r="I38" s="4"/>
      <c r="J38" s="4"/>
      <c r="K38" s="4"/>
      <c r="L38" s="4"/>
      <c r="M38" s="4"/>
      <c r="N38" s="4"/>
      <c r="O38" s="4"/>
      <c r="P38" s="4"/>
      <c r="Q38" s="4"/>
    </row>
    <row r="39" spans="1:17" ht="15" x14ac:dyDescent="0.2">
      <c r="A39" s="2"/>
      <c r="B39" s="2"/>
      <c r="C39" s="3"/>
      <c r="D39" s="4"/>
      <c r="E39" s="4"/>
      <c r="F39" s="721" t="s">
        <v>36</v>
      </c>
      <c r="G39" s="721"/>
      <c r="H39" s="721"/>
      <c r="I39" s="721"/>
      <c r="J39" s="721"/>
      <c r="K39" s="721"/>
      <c r="L39" s="721"/>
      <c r="M39" s="721"/>
      <c r="N39" s="721"/>
      <c r="O39" s="721"/>
      <c r="P39" s="721"/>
      <c r="Q39" s="4"/>
    </row>
    <row r="40" spans="1:17" ht="9.9499999999999993" customHeight="1" x14ac:dyDescent="0.2">
      <c r="A40" s="2"/>
      <c r="B40" s="2"/>
      <c r="C40" s="3"/>
      <c r="D40" s="4"/>
      <c r="E40" s="4"/>
      <c r="F40" s="4"/>
      <c r="G40" s="4"/>
      <c r="H40" s="4"/>
      <c r="I40" s="4"/>
      <c r="J40" s="4"/>
      <c r="K40" s="4"/>
      <c r="L40" s="4"/>
      <c r="M40" s="4"/>
      <c r="N40" s="4"/>
      <c r="O40" s="4"/>
      <c r="P40" s="4"/>
      <c r="Q40" s="4"/>
    </row>
    <row r="41" spans="1:17" x14ac:dyDescent="0.2">
      <c r="A41" s="2"/>
      <c r="B41" s="2"/>
      <c r="C41" s="3"/>
      <c r="D41" s="4"/>
      <c r="E41" s="4"/>
      <c r="F41" s="17" t="s">
        <v>499</v>
      </c>
      <c r="G41" s="4"/>
      <c r="H41" s="4"/>
      <c r="I41" s="4"/>
      <c r="J41" s="4"/>
      <c r="K41" s="4"/>
      <c r="L41" s="4"/>
      <c r="M41" s="4"/>
      <c r="N41" s="4"/>
      <c r="O41" s="306">
        <f>Datos_recursos!C149</f>
        <v>9430</v>
      </c>
      <c r="P41" s="324" t="s">
        <v>111</v>
      </c>
      <c r="Q41" s="4"/>
    </row>
    <row r="42" spans="1:17" x14ac:dyDescent="0.2">
      <c r="A42" s="2"/>
      <c r="B42" s="2"/>
      <c r="C42" s="3"/>
      <c r="D42" s="4"/>
      <c r="E42" s="4"/>
      <c r="F42" s="4"/>
      <c r="G42" s="4"/>
      <c r="H42" s="4"/>
      <c r="I42" s="4"/>
      <c r="J42" s="4"/>
      <c r="K42" s="4"/>
      <c r="L42" s="4"/>
      <c r="M42" s="4"/>
      <c r="N42" s="4"/>
      <c r="O42" s="4"/>
      <c r="P42" s="4"/>
      <c r="Q42" s="4"/>
    </row>
    <row r="43" spans="1:17" x14ac:dyDescent="0.2">
      <c r="A43" s="2"/>
      <c r="B43" s="2"/>
      <c r="C43" s="3"/>
      <c r="D43" s="4"/>
      <c r="E43" s="4"/>
      <c r="F43" s="4"/>
      <c r="G43" s="4"/>
      <c r="H43" s="4"/>
      <c r="I43" s="4"/>
      <c r="J43" s="4"/>
      <c r="K43" s="4"/>
      <c r="L43" s="4"/>
      <c r="M43" s="4"/>
      <c r="N43" s="4"/>
      <c r="O43" s="4"/>
      <c r="P43" s="4"/>
      <c r="Q43" s="4"/>
    </row>
    <row r="44" spans="1:17" ht="20.100000000000001" customHeight="1" x14ac:dyDescent="0.2">
      <c r="A44" s="2"/>
      <c r="B44" s="2"/>
      <c r="C44" s="3"/>
      <c r="D44" s="4"/>
      <c r="E44" s="725" t="s">
        <v>284</v>
      </c>
      <c r="F44" s="719" t="s">
        <v>2</v>
      </c>
      <c r="G44" s="719"/>
      <c r="H44" s="719"/>
      <c r="I44" s="719"/>
      <c r="J44" s="722" t="s">
        <v>285</v>
      </c>
      <c r="K44" s="722"/>
      <c r="L44" s="722"/>
      <c r="M44" s="722"/>
      <c r="N44" s="722"/>
      <c r="O44" s="722"/>
      <c r="P44" s="722"/>
      <c r="Q44" s="4"/>
    </row>
    <row r="45" spans="1:17" ht="20.100000000000001" customHeight="1" x14ac:dyDescent="0.2">
      <c r="A45" s="2"/>
      <c r="B45" s="2"/>
      <c r="C45" s="3"/>
      <c r="D45" s="4"/>
      <c r="E45" s="725"/>
      <c r="F45" s="719" t="s">
        <v>3</v>
      </c>
      <c r="G45" s="719"/>
      <c r="H45" s="719"/>
      <c r="I45" s="719"/>
      <c r="J45" s="722" t="s">
        <v>804</v>
      </c>
      <c r="K45" s="722"/>
      <c r="L45" s="722"/>
      <c r="M45" s="722"/>
      <c r="N45" s="722"/>
      <c r="O45" s="722"/>
      <c r="P45" s="722"/>
      <c r="Q45" s="4"/>
    </row>
    <row r="46" spans="1:17" ht="84.95" customHeight="1" x14ac:dyDescent="0.2">
      <c r="A46" s="2"/>
      <c r="B46" s="2"/>
      <c r="C46" s="3"/>
      <c r="D46" s="4"/>
      <c r="E46" s="4"/>
      <c r="F46" s="719" t="s">
        <v>50</v>
      </c>
      <c r="G46" s="719"/>
      <c r="H46" s="719"/>
      <c r="I46" s="719"/>
      <c r="J46" s="720" t="s">
        <v>502</v>
      </c>
      <c r="K46" s="720"/>
      <c r="L46" s="720"/>
      <c r="M46" s="720"/>
      <c r="N46" s="720"/>
      <c r="O46" s="720"/>
      <c r="P46" s="720"/>
      <c r="Q46" s="4"/>
    </row>
    <row r="47" spans="1:17" x14ac:dyDescent="0.2">
      <c r="A47" s="2"/>
      <c r="B47" s="2"/>
      <c r="C47" s="3"/>
      <c r="D47" s="4"/>
      <c r="E47" s="4"/>
      <c r="F47" s="4"/>
      <c r="G47" s="4"/>
      <c r="H47" s="4"/>
      <c r="I47" s="4"/>
      <c r="J47" s="4"/>
      <c r="K47" s="4"/>
      <c r="L47" s="4"/>
      <c r="M47" s="4"/>
      <c r="N47" s="4"/>
      <c r="O47" s="4"/>
      <c r="P47" s="4"/>
      <c r="Q47" s="4"/>
    </row>
    <row r="48" spans="1:17" ht="15" x14ac:dyDescent="0.2">
      <c r="A48" s="2"/>
      <c r="B48" s="2"/>
      <c r="C48" s="3"/>
      <c r="D48" s="4"/>
      <c r="E48" s="4"/>
      <c r="F48" s="721" t="s">
        <v>20</v>
      </c>
      <c r="G48" s="721"/>
      <c r="H48" s="721"/>
      <c r="I48" s="721"/>
      <c r="J48" s="721"/>
      <c r="K48" s="721"/>
      <c r="L48" s="721"/>
      <c r="M48" s="721"/>
      <c r="N48" s="721"/>
      <c r="O48" s="721"/>
      <c r="P48" s="721"/>
      <c r="Q48" s="4"/>
    </row>
    <row r="49" spans="1:17" ht="9.9499999999999993" customHeight="1" x14ac:dyDescent="0.2">
      <c r="A49" s="2"/>
      <c r="B49" s="2"/>
      <c r="C49" s="3"/>
      <c r="D49" s="4"/>
      <c r="E49" s="4"/>
      <c r="F49" s="4"/>
      <c r="G49" s="4"/>
      <c r="H49" s="4"/>
      <c r="I49" s="4"/>
      <c r="J49" s="4"/>
      <c r="K49" s="4"/>
      <c r="L49" s="4"/>
      <c r="M49" s="4"/>
      <c r="N49" s="4"/>
      <c r="O49" s="4"/>
      <c r="P49" s="4"/>
      <c r="Q49" s="4"/>
    </row>
    <row r="50" spans="1:17" x14ac:dyDescent="0.2">
      <c r="A50" s="2"/>
      <c r="B50" s="2"/>
      <c r="C50" s="3"/>
      <c r="D50" s="4"/>
      <c r="E50" s="4"/>
      <c r="F50" s="17" t="s">
        <v>1033</v>
      </c>
      <c r="G50" s="4"/>
      <c r="H50" s="4"/>
      <c r="I50" s="4"/>
      <c r="J50" s="4"/>
      <c r="K50" s="4"/>
      <c r="L50" s="4"/>
      <c r="M50" s="4"/>
      <c r="N50" s="4"/>
      <c r="O50" s="535">
        <v>1</v>
      </c>
      <c r="P50" s="547" t="s">
        <v>503</v>
      </c>
      <c r="Q50" s="4"/>
    </row>
    <row r="51" spans="1:17" x14ac:dyDescent="0.2">
      <c r="A51" s="2"/>
      <c r="B51" s="2"/>
      <c r="C51" s="3"/>
      <c r="D51" s="4"/>
      <c r="E51" s="4"/>
      <c r="F51" s="17" t="s">
        <v>1035</v>
      </c>
      <c r="G51" s="4"/>
      <c r="H51" s="4"/>
      <c r="I51" s="4"/>
      <c r="J51" s="4"/>
      <c r="K51" s="4"/>
      <c r="L51" s="4"/>
      <c r="M51" s="4"/>
      <c r="N51" s="4"/>
      <c r="O51" s="728" t="s">
        <v>526</v>
      </c>
      <c r="P51" s="728"/>
      <c r="Q51" s="4"/>
    </row>
    <row r="52" spans="1:17" x14ac:dyDescent="0.2">
      <c r="A52" s="2"/>
      <c r="B52" s="2"/>
      <c r="C52" s="3"/>
      <c r="D52" s="4"/>
      <c r="E52" s="4"/>
      <c r="F52" s="4"/>
      <c r="G52" s="4"/>
      <c r="H52" s="4"/>
      <c r="I52" s="4"/>
      <c r="J52" s="4"/>
      <c r="K52" s="4"/>
      <c r="L52" s="4"/>
      <c r="M52" s="4"/>
      <c r="N52" s="4"/>
      <c r="O52" s="4"/>
      <c r="P52" s="4"/>
      <c r="Q52" s="4"/>
    </row>
    <row r="53" spans="1:17" ht="15" x14ac:dyDescent="0.2">
      <c r="A53" s="2"/>
      <c r="B53" s="2"/>
      <c r="C53" s="3"/>
      <c r="D53" s="4"/>
      <c r="E53" s="4"/>
      <c r="F53" s="721" t="s">
        <v>36</v>
      </c>
      <c r="G53" s="721"/>
      <c r="H53" s="721"/>
      <c r="I53" s="721"/>
      <c r="J53" s="721"/>
      <c r="K53" s="721"/>
      <c r="L53" s="721"/>
      <c r="M53" s="721"/>
      <c r="N53" s="721"/>
      <c r="O53" s="721"/>
      <c r="P53" s="721"/>
      <c r="Q53" s="4"/>
    </row>
    <row r="54" spans="1:17" ht="9.9499999999999993" customHeight="1" x14ac:dyDescent="0.2">
      <c r="A54" s="2"/>
      <c r="B54" s="2"/>
      <c r="C54" s="3"/>
      <c r="D54" s="4"/>
      <c r="E54" s="4"/>
      <c r="F54" s="4"/>
      <c r="G54" s="4"/>
      <c r="H54" s="4"/>
      <c r="I54" s="4"/>
      <c r="J54" s="4"/>
      <c r="K54" s="4"/>
      <c r="L54" s="4"/>
      <c r="M54" s="4"/>
      <c r="N54" s="4"/>
      <c r="O54" s="4"/>
      <c r="P54" s="4"/>
      <c r="Q54" s="4"/>
    </row>
    <row r="55" spans="1:17" x14ac:dyDescent="0.2">
      <c r="A55" s="2"/>
      <c r="B55" s="2"/>
      <c r="C55" s="3"/>
      <c r="D55" s="4"/>
      <c r="E55" s="4"/>
      <c r="F55" s="17" t="s">
        <v>499</v>
      </c>
      <c r="G55" s="4"/>
      <c r="H55" s="4"/>
      <c r="I55" s="4"/>
      <c r="J55" s="4"/>
      <c r="K55" s="4"/>
      <c r="L55" s="4"/>
      <c r="M55" s="4"/>
      <c r="N55" s="4"/>
      <c r="O55" s="488">
        <f>Datos_recursos!C127</f>
        <v>1150</v>
      </c>
      <c r="P55" s="324" t="s">
        <v>111</v>
      </c>
      <c r="Q55" s="4"/>
    </row>
    <row r="56" spans="1:17" x14ac:dyDescent="0.2">
      <c r="A56" s="2"/>
      <c r="B56" s="2"/>
      <c r="C56" s="3"/>
      <c r="D56" s="4"/>
      <c r="E56" s="4"/>
      <c r="F56" s="4"/>
      <c r="G56" s="4"/>
      <c r="H56" s="4"/>
      <c r="I56" s="4"/>
      <c r="J56" s="4"/>
      <c r="K56" s="4"/>
      <c r="L56" s="4"/>
      <c r="M56" s="4"/>
      <c r="N56" s="4"/>
      <c r="O56" s="4"/>
      <c r="P56" s="4"/>
      <c r="Q56" s="4"/>
    </row>
    <row r="57" spans="1:17" x14ac:dyDescent="0.2">
      <c r="A57" s="2"/>
      <c r="B57" s="2"/>
      <c r="C57" s="3"/>
      <c r="D57" s="4"/>
      <c r="E57" s="4"/>
      <c r="F57" s="4"/>
      <c r="G57" s="4"/>
      <c r="H57" s="4"/>
      <c r="I57" s="4"/>
      <c r="J57" s="4"/>
      <c r="K57" s="4"/>
      <c r="L57" s="4"/>
      <c r="M57" s="4"/>
      <c r="N57" s="4"/>
      <c r="O57" s="4"/>
      <c r="P57" s="4"/>
      <c r="Q57" s="4"/>
    </row>
    <row r="58" spans="1:17" ht="20.100000000000001" customHeight="1" x14ac:dyDescent="0.2">
      <c r="A58" s="2"/>
      <c r="B58" s="2"/>
      <c r="C58" s="3"/>
      <c r="D58" s="4"/>
      <c r="E58" s="725" t="s">
        <v>287</v>
      </c>
      <c r="F58" s="719" t="s">
        <v>2</v>
      </c>
      <c r="G58" s="719"/>
      <c r="H58" s="719"/>
      <c r="I58" s="719"/>
      <c r="J58" s="722" t="s">
        <v>288</v>
      </c>
      <c r="K58" s="722"/>
      <c r="L58" s="722"/>
      <c r="M58" s="722"/>
      <c r="N58" s="722"/>
      <c r="O58" s="722"/>
      <c r="P58" s="722"/>
      <c r="Q58" s="4"/>
    </row>
    <row r="59" spans="1:17" ht="30" customHeight="1" x14ac:dyDescent="0.2">
      <c r="A59" s="2"/>
      <c r="B59" s="2"/>
      <c r="C59" s="3"/>
      <c r="D59" s="4"/>
      <c r="E59" s="725"/>
      <c r="F59" s="719" t="s">
        <v>3</v>
      </c>
      <c r="G59" s="719"/>
      <c r="H59" s="719"/>
      <c r="I59" s="719"/>
      <c r="J59" s="720" t="s">
        <v>805</v>
      </c>
      <c r="K59" s="729"/>
      <c r="L59" s="729"/>
      <c r="M59" s="729"/>
      <c r="N59" s="729"/>
      <c r="O59" s="729"/>
      <c r="P59" s="729"/>
      <c r="Q59" s="4"/>
    </row>
    <row r="60" spans="1:17" ht="110.1" customHeight="1" x14ac:dyDescent="0.2">
      <c r="A60" s="2"/>
      <c r="B60" s="2"/>
      <c r="C60" s="3"/>
      <c r="D60" s="4"/>
      <c r="E60" s="4"/>
      <c r="F60" s="719" t="s">
        <v>50</v>
      </c>
      <c r="G60" s="719"/>
      <c r="H60" s="719"/>
      <c r="I60" s="719"/>
      <c r="J60" s="720" t="s">
        <v>460</v>
      </c>
      <c r="K60" s="720"/>
      <c r="L60" s="720"/>
      <c r="M60" s="720"/>
      <c r="N60" s="720"/>
      <c r="O60" s="720"/>
      <c r="P60" s="720"/>
      <c r="Q60" s="4"/>
    </row>
    <row r="61" spans="1:17" x14ac:dyDescent="0.2">
      <c r="A61" s="2"/>
      <c r="B61" s="2"/>
      <c r="C61" s="3"/>
      <c r="D61" s="4"/>
      <c r="E61" s="4"/>
      <c r="F61" s="4"/>
      <c r="G61" s="4"/>
      <c r="H61" s="4"/>
      <c r="I61" s="4"/>
      <c r="J61" s="4"/>
      <c r="K61" s="4"/>
      <c r="L61" s="4"/>
      <c r="M61" s="4"/>
      <c r="N61" s="4"/>
      <c r="O61" s="4"/>
      <c r="P61" s="4"/>
      <c r="Q61" s="4"/>
    </row>
    <row r="62" spans="1:17" ht="15" x14ac:dyDescent="0.2">
      <c r="A62" s="2"/>
      <c r="B62" s="2"/>
      <c r="C62" s="3"/>
      <c r="D62" s="4"/>
      <c r="E62" s="4"/>
      <c r="F62" s="721" t="s">
        <v>20</v>
      </c>
      <c r="G62" s="721"/>
      <c r="H62" s="721"/>
      <c r="I62" s="721"/>
      <c r="J62" s="721"/>
      <c r="K62" s="721"/>
      <c r="L62" s="721"/>
      <c r="M62" s="721"/>
      <c r="N62" s="721"/>
      <c r="O62" s="721"/>
      <c r="P62" s="721"/>
      <c r="Q62" s="4"/>
    </row>
    <row r="63" spans="1:17" ht="9.9499999999999993" customHeight="1" x14ac:dyDescent="0.2">
      <c r="A63" s="2"/>
      <c r="B63" s="2"/>
      <c r="C63" s="3"/>
      <c r="D63" s="4"/>
      <c r="E63" s="4"/>
      <c r="F63" s="4"/>
      <c r="G63" s="4"/>
      <c r="H63" s="4"/>
      <c r="I63" s="4"/>
      <c r="J63" s="4"/>
      <c r="K63" s="4"/>
      <c r="L63" s="4"/>
      <c r="M63" s="4"/>
      <c r="N63" s="4"/>
      <c r="O63" s="4"/>
      <c r="P63" s="4"/>
      <c r="Q63" s="4"/>
    </row>
    <row r="64" spans="1:17" x14ac:dyDescent="0.2">
      <c r="A64" s="2"/>
      <c r="B64" s="2"/>
      <c r="C64" s="3"/>
      <c r="D64" s="4"/>
      <c r="E64" s="4"/>
      <c r="F64" s="17" t="s">
        <v>1033</v>
      </c>
      <c r="G64" s="4"/>
      <c r="H64" s="4"/>
      <c r="I64" s="4"/>
      <c r="J64" s="4"/>
      <c r="K64" s="4"/>
      <c r="L64" s="4"/>
      <c r="M64" s="4"/>
      <c r="N64" s="4"/>
      <c r="O64" s="535">
        <v>0.5</v>
      </c>
      <c r="P64" s="548" t="s">
        <v>206</v>
      </c>
      <c r="Q64" s="4"/>
    </row>
    <row r="65" spans="1:17" x14ac:dyDescent="0.2">
      <c r="A65" s="2"/>
      <c r="B65" s="2"/>
      <c r="C65" s="3"/>
      <c r="D65" s="4"/>
      <c r="E65" s="4"/>
      <c r="F65" s="17" t="s">
        <v>1034</v>
      </c>
      <c r="G65" s="4"/>
      <c r="H65" s="4"/>
      <c r="I65" s="4"/>
      <c r="J65" s="4"/>
      <c r="K65" s="4"/>
      <c r="L65" s="4"/>
      <c r="M65" s="4"/>
      <c r="N65" s="4"/>
      <c r="O65" s="730" t="s">
        <v>472</v>
      </c>
      <c r="P65" s="730"/>
      <c r="Q65" s="4"/>
    </row>
    <row r="66" spans="1:17" x14ac:dyDescent="0.2">
      <c r="A66" s="2"/>
      <c r="B66" s="2"/>
      <c r="C66" s="3"/>
      <c r="D66" s="4"/>
      <c r="E66" s="4"/>
      <c r="F66" s="4"/>
      <c r="G66" s="4"/>
      <c r="H66" s="4"/>
      <c r="I66" s="4"/>
      <c r="J66" s="4"/>
      <c r="K66" s="4"/>
      <c r="L66" s="4"/>
      <c r="M66" s="4"/>
      <c r="N66" s="4"/>
      <c r="O66" s="4"/>
      <c r="P66" s="4"/>
      <c r="Q66" s="4"/>
    </row>
    <row r="67" spans="1:17" ht="15" x14ac:dyDescent="0.2">
      <c r="A67" s="2"/>
      <c r="B67" s="2"/>
      <c r="C67" s="3"/>
      <c r="D67" s="4"/>
      <c r="E67" s="4"/>
      <c r="F67" s="721" t="s">
        <v>36</v>
      </c>
      <c r="G67" s="721"/>
      <c r="H67" s="721"/>
      <c r="I67" s="721"/>
      <c r="J67" s="721"/>
      <c r="K67" s="721"/>
      <c r="L67" s="721"/>
      <c r="M67" s="721"/>
      <c r="N67" s="721"/>
      <c r="O67" s="721"/>
      <c r="P67" s="721"/>
      <c r="Q67" s="4"/>
    </row>
    <row r="68" spans="1:17" ht="9.9499999999999993" customHeight="1" x14ac:dyDescent="0.2">
      <c r="A68" s="2"/>
      <c r="B68" s="2"/>
      <c r="C68" s="3"/>
      <c r="D68" s="4"/>
      <c r="E68" s="4"/>
      <c r="F68" s="4"/>
      <c r="G68" s="4"/>
      <c r="H68" s="4"/>
      <c r="I68" s="4"/>
      <c r="J68" s="4"/>
      <c r="K68" s="4"/>
      <c r="L68" s="4"/>
      <c r="M68" s="4"/>
      <c r="N68" s="4"/>
      <c r="O68" s="4"/>
      <c r="P68" s="4"/>
      <c r="Q68" s="4"/>
    </row>
    <row r="69" spans="1:17" x14ac:dyDescent="0.2">
      <c r="A69" s="2"/>
      <c r="B69" s="2"/>
      <c r="C69" s="3"/>
      <c r="D69" s="4"/>
      <c r="E69" s="4"/>
      <c r="F69" s="17" t="s">
        <v>499</v>
      </c>
      <c r="G69" s="4"/>
      <c r="H69" s="4"/>
      <c r="I69" s="4"/>
      <c r="J69" s="4"/>
      <c r="K69" s="4"/>
      <c r="L69" s="4"/>
      <c r="M69" s="4"/>
      <c r="N69" s="4"/>
      <c r="O69" s="19">
        <f>Datos_recursos!C91</f>
        <v>600</v>
      </c>
      <c r="P69" s="324" t="s">
        <v>111</v>
      </c>
      <c r="Q69" s="4"/>
    </row>
    <row r="70" spans="1:17" x14ac:dyDescent="0.2">
      <c r="A70" s="2"/>
      <c r="B70" s="2"/>
      <c r="C70" s="3"/>
      <c r="D70" s="4"/>
      <c r="E70" s="4"/>
      <c r="F70" s="17" t="s">
        <v>489</v>
      </c>
      <c r="G70" s="4"/>
      <c r="H70" s="4"/>
      <c r="I70" s="4"/>
      <c r="J70" s="4"/>
      <c r="K70" s="4"/>
      <c r="L70" s="4"/>
      <c r="M70" s="4"/>
      <c r="N70" s="4"/>
      <c r="O70" s="306">
        <f>Datos_recursos!C92</f>
        <v>1.4000000000000001</v>
      </c>
      <c r="P70" s="324" t="s">
        <v>825</v>
      </c>
      <c r="Q70" s="4"/>
    </row>
    <row r="71" spans="1:17" x14ac:dyDescent="0.2">
      <c r="A71" s="2"/>
      <c r="B71" s="2"/>
      <c r="C71" s="3"/>
      <c r="D71" s="4"/>
      <c r="E71" s="4"/>
      <c r="F71" s="4"/>
      <c r="G71" s="4"/>
      <c r="H71" s="4"/>
      <c r="I71" s="4"/>
      <c r="J71" s="4"/>
      <c r="K71" s="4"/>
      <c r="L71" s="4"/>
      <c r="M71" s="4"/>
      <c r="N71" s="4"/>
      <c r="O71" s="4"/>
      <c r="P71" s="4"/>
      <c r="Q71" s="4"/>
    </row>
    <row r="72" spans="1:17" x14ac:dyDescent="0.2">
      <c r="A72" s="2"/>
      <c r="B72" s="2"/>
      <c r="C72" s="3"/>
      <c r="D72" s="4"/>
      <c r="E72" s="4"/>
      <c r="F72" s="4"/>
      <c r="G72" s="4"/>
      <c r="H72" s="4"/>
      <c r="I72" s="4"/>
      <c r="J72" s="4"/>
      <c r="K72" s="4"/>
      <c r="L72" s="4"/>
      <c r="M72" s="4"/>
      <c r="N72" s="4"/>
      <c r="O72" s="4"/>
      <c r="P72" s="4"/>
      <c r="Q72" s="4"/>
    </row>
    <row r="73" spans="1:17" ht="20.100000000000001" customHeight="1" x14ac:dyDescent="0.2">
      <c r="A73" s="2"/>
      <c r="B73" s="2"/>
      <c r="C73" s="3"/>
      <c r="D73" s="4"/>
      <c r="E73" s="725" t="s">
        <v>289</v>
      </c>
      <c r="F73" s="719" t="s">
        <v>2</v>
      </c>
      <c r="G73" s="719"/>
      <c r="H73" s="719"/>
      <c r="I73" s="719"/>
      <c r="J73" s="722" t="s">
        <v>631</v>
      </c>
      <c r="K73" s="722"/>
      <c r="L73" s="722"/>
      <c r="M73" s="722"/>
      <c r="N73" s="722"/>
      <c r="O73" s="722"/>
      <c r="P73" s="722"/>
      <c r="Q73" s="4"/>
    </row>
    <row r="74" spans="1:17" ht="30" customHeight="1" x14ac:dyDescent="0.2">
      <c r="A74" s="2"/>
      <c r="B74" s="2"/>
      <c r="C74" s="3"/>
      <c r="D74" s="4"/>
      <c r="E74" s="725"/>
      <c r="F74" s="719" t="s">
        <v>3</v>
      </c>
      <c r="G74" s="719"/>
      <c r="H74" s="719"/>
      <c r="I74" s="719"/>
      <c r="J74" s="722" t="s">
        <v>806</v>
      </c>
      <c r="K74" s="722"/>
      <c r="L74" s="722"/>
      <c r="M74" s="722"/>
      <c r="N74" s="722"/>
      <c r="O74" s="722"/>
      <c r="P74" s="722"/>
      <c r="Q74" s="4"/>
    </row>
    <row r="75" spans="1:17" ht="99.95" customHeight="1" x14ac:dyDescent="0.2">
      <c r="A75" s="2"/>
      <c r="B75" s="2"/>
      <c r="C75" s="3"/>
      <c r="D75" s="4"/>
      <c r="E75" s="4"/>
      <c r="F75" s="719" t="s">
        <v>50</v>
      </c>
      <c r="G75" s="719"/>
      <c r="H75" s="719"/>
      <c r="I75" s="719"/>
      <c r="J75" s="732" t="s">
        <v>821</v>
      </c>
      <c r="K75" s="733"/>
      <c r="L75" s="733"/>
      <c r="M75" s="733"/>
      <c r="N75" s="733"/>
      <c r="O75" s="733"/>
      <c r="P75" s="734"/>
      <c r="Q75" s="4"/>
    </row>
    <row r="76" spans="1:17" x14ac:dyDescent="0.2">
      <c r="A76" s="2"/>
      <c r="B76" s="2"/>
      <c r="C76" s="3"/>
      <c r="D76" s="4"/>
      <c r="E76" s="4"/>
      <c r="F76" s="4"/>
      <c r="G76" s="4"/>
      <c r="H76" s="4"/>
      <c r="I76" s="4"/>
      <c r="J76" s="4"/>
      <c r="K76" s="4"/>
      <c r="L76" s="4"/>
      <c r="M76" s="4"/>
      <c r="N76" s="4"/>
      <c r="O76" s="4"/>
      <c r="P76" s="4"/>
      <c r="Q76" s="4"/>
    </row>
    <row r="77" spans="1:17" ht="15" x14ac:dyDescent="0.2">
      <c r="A77" s="2"/>
      <c r="B77" s="2"/>
      <c r="C77" s="3"/>
      <c r="D77" s="4"/>
      <c r="E77" s="4"/>
      <c r="F77" s="721" t="s">
        <v>20</v>
      </c>
      <c r="G77" s="721"/>
      <c r="H77" s="721"/>
      <c r="I77" s="721"/>
      <c r="J77" s="721"/>
      <c r="K77" s="721"/>
      <c r="L77" s="721"/>
      <c r="M77" s="721"/>
      <c r="N77" s="721"/>
      <c r="O77" s="721"/>
      <c r="P77" s="721"/>
      <c r="Q77" s="4"/>
    </row>
    <row r="78" spans="1:17" ht="9.9499999999999993" customHeight="1" x14ac:dyDescent="0.2">
      <c r="A78" s="2"/>
      <c r="B78" s="2"/>
      <c r="C78" s="3"/>
      <c r="D78" s="4"/>
      <c r="E78" s="4"/>
      <c r="F78" s="4"/>
      <c r="G78" s="4"/>
      <c r="H78" s="4"/>
      <c r="I78" s="4"/>
      <c r="J78" s="4"/>
      <c r="K78" s="4"/>
      <c r="L78" s="4"/>
      <c r="M78" s="4"/>
      <c r="N78" s="4"/>
      <c r="O78" s="4"/>
      <c r="P78" s="4"/>
      <c r="Q78" s="4"/>
    </row>
    <row r="79" spans="1:17" x14ac:dyDescent="0.2">
      <c r="A79" s="2"/>
      <c r="B79" s="2"/>
      <c r="C79" s="3"/>
      <c r="D79" s="4"/>
      <c r="E79" s="4"/>
      <c r="F79" s="17" t="s">
        <v>1031</v>
      </c>
      <c r="G79" s="4"/>
      <c r="H79" s="4"/>
      <c r="I79" s="4"/>
      <c r="J79" s="4"/>
      <c r="K79" s="4"/>
      <c r="L79" s="4"/>
      <c r="M79" s="4"/>
      <c r="N79" s="4"/>
      <c r="O79" s="549">
        <v>100</v>
      </c>
      <c r="P79" s="548" t="s">
        <v>638</v>
      </c>
      <c r="Q79" s="4"/>
    </row>
    <row r="80" spans="1:17" x14ac:dyDescent="0.2">
      <c r="A80" s="2"/>
      <c r="B80" s="2"/>
      <c r="C80" s="3"/>
      <c r="D80" s="4"/>
      <c r="E80" s="4"/>
      <c r="F80" s="17" t="s">
        <v>1032</v>
      </c>
      <c r="G80" s="4"/>
      <c r="H80" s="4"/>
      <c r="I80" s="4"/>
      <c r="J80" s="4"/>
      <c r="K80" s="4"/>
      <c r="L80" s="4"/>
      <c r="M80" s="4"/>
      <c r="N80" s="4"/>
      <c r="O80" s="731">
        <v>0.12</v>
      </c>
      <c r="P80" s="731"/>
      <c r="Q80" s="4"/>
    </row>
    <row r="81" spans="1:17" x14ac:dyDescent="0.2">
      <c r="A81" s="2"/>
      <c r="B81" s="2"/>
      <c r="C81" s="3"/>
      <c r="D81" s="4"/>
      <c r="E81" s="4"/>
      <c r="F81" s="4"/>
      <c r="G81" s="4"/>
      <c r="H81" s="4"/>
      <c r="I81" s="4"/>
      <c r="J81" s="4"/>
      <c r="K81" s="4"/>
      <c r="L81" s="4"/>
      <c r="M81" s="4"/>
      <c r="N81" s="4"/>
      <c r="O81" s="4"/>
      <c r="P81" s="4"/>
      <c r="Q81" s="4"/>
    </row>
    <row r="82" spans="1:17" ht="15" x14ac:dyDescent="0.2">
      <c r="A82" s="2"/>
      <c r="B82" s="2"/>
      <c r="C82" s="3"/>
      <c r="D82" s="4"/>
      <c r="E82" s="4"/>
      <c r="F82" s="721" t="s">
        <v>36</v>
      </c>
      <c r="G82" s="721"/>
      <c r="H82" s="721"/>
      <c r="I82" s="721"/>
      <c r="J82" s="721"/>
      <c r="K82" s="721"/>
      <c r="L82" s="721"/>
      <c r="M82" s="721"/>
      <c r="N82" s="721"/>
      <c r="O82" s="721"/>
      <c r="P82" s="721"/>
      <c r="Q82" s="4"/>
    </row>
    <row r="83" spans="1:17" ht="9.9499999999999993" customHeight="1" x14ac:dyDescent="0.2">
      <c r="A83" s="2"/>
      <c r="B83" s="2"/>
      <c r="C83" s="3"/>
      <c r="D83" s="4"/>
      <c r="E83" s="4"/>
      <c r="F83" s="4"/>
      <c r="G83" s="4"/>
      <c r="H83" s="4"/>
      <c r="I83" s="4"/>
      <c r="J83" s="4"/>
      <c r="K83" s="4"/>
      <c r="L83" s="4"/>
      <c r="M83" s="4"/>
      <c r="N83" s="4"/>
      <c r="O83" s="4"/>
      <c r="P83" s="4"/>
      <c r="Q83" s="4"/>
    </row>
    <row r="84" spans="1:17" x14ac:dyDescent="0.2">
      <c r="A84" s="2"/>
      <c r="B84" s="2"/>
      <c r="C84" s="3"/>
      <c r="D84" s="4"/>
      <c r="E84" s="4"/>
      <c r="F84" s="17" t="s">
        <v>640</v>
      </c>
      <c r="G84" s="4"/>
      <c r="H84" s="4"/>
      <c r="I84" s="4"/>
      <c r="J84" s="4"/>
      <c r="K84" s="4"/>
      <c r="L84" s="4"/>
      <c r="M84" s="4"/>
      <c r="N84" s="4"/>
      <c r="O84" s="19">
        <f>Datos_recursos!C200</f>
        <v>100</v>
      </c>
      <c r="P84" s="324" t="s">
        <v>279</v>
      </c>
      <c r="Q84" s="4"/>
    </row>
    <row r="85" spans="1:17" x14ac:dyDescent="0.2">
      <c r="A85" s="2"/>
      <c r="B85" s="2"/>
      <c r="C85" s="3"/>
      <c r="D85" s="4"/>
      <c r="E85" s="4"/>
      <c r="F85" s="17" t="s">
        <v>639</v>
      </c>
      <c r="G85" s="4"/>
      <c r="H85" s="4"/>
      <c r="I85" s="4"/>
      <c r="J85" s="4"/>
      <c r="K85" s="4"/>
      <c r="L85" s="4"/>
      <c r="M85" s="4"/>
      <c r="N85" s="4"/>
      <c r="O85" s="306">
        <f>Datos_recursos!C201</f>
        <v>12</v>
      </c>
      <c r="P85" s="324" t="s">
        <v>279</v>
      </c>
      <c r="Q85" s="4"/>
    </row>
    <row r="86" spans="1:17" x14ac:dyDescent="0.2">
      <c r="A86" s="2"/>
      <c r="B86" s="2"/>
      <c r="C86" s="3"/>
      <c r="D86" s="4"/>
      <c r="E86" s="4"/>
      <c r="F86" s="4"/>
      <c r="G86" s="4"/>
      <c r="H86" s="4"/>
      <c r="I86" s="4"/>
      <c r="J86" s="4"/>
      <c r="K86" s="4"/>
      <c r="L86" s="4"/>
      <c r="M86" s="4"/>
      <c r="N86" s="4"/>
      <c r="O86" s="4"/>
      <c r="P86" s="4"/>
      <c r="Q86" s="4"/>
    </row>
    <row r="87" spans="1:17" x14ac:dyDescent="0.2">
      <c r="A87" s="2"/>
      <c r="B87" s="2"/>
      <c r="C87" s="3"/>
      <c r="D87" s="4"/>
      <c r="E87" s="4"/>
      <c r="F87" s="4"/>
      <c r="G87" s="4"/>
      <c r="H87" s="4"/>
      <c r="I87" s="4"/>
      <c r="J87" s="4"/>
      <c r="K87" s="4"/>
      <c r="L87" s="4"/>
      <c r="M87" s="4"/>
      <c r="N87" s="4"/>
      <c r="O87" s="4"/>
      <c r="P87" s="4"/>
      <c r="Q87" s="4"/>
    </row>
    <row r="88" spans="1:17" ht="20.100000000000001" customHeight="1" x14ac:dyDescent="0.2">
      <c r="A88" s="2"/>
      <c r="B88" s="2"/>
      <c r="C88" s="3"/>
      <c r="D88" s="4"/>
      <c r="E88" s="725" t="s">
        <v>290</v>
      </c>
      <c r="F88" s="719" t="s">
        <v>2</v>
      </c>
      <c r="G88" s="719"/>
      <c r="H88" s="719"/>
      <c r="I88" s="719"/>
      <c r="J88" s="722" t="s">
        <v>291</v>
      </c>
      <c r="K88" s="722"/>
      <c r="L88" s="722"/>
      <c r="M88" s="722"/>
      <c r="N88" s="722"/>
      <c r="O88" s="722"/>
      <c r="P88" s="722"/>
      <c r="Q88" s="4"/>
    </row>
    <row r="89" spans="1:17" ht="20.100000000000001" customHeight="1" x14ac:dyDescent="0.2">
      <c r="A89" s="2"/>
      <c r="B89" s="2"/>
      <c r="C89" s="3"/>
      <c r="D89" s="4"/>
      <c r="E89" s="725"/>
      <c r="F89" s="719" t="s">
        <v>3</v>
      </c>
      <c r="G89" s="719"/>
      <c r="H89" s="719"/>
      <c r="I89" s="719"/>
      <c r="J89" s="722" t="s">
        <v>802</v>
      </c>
      <c r="K89" s="722"/>
      <c r="L89" s="722"/>
      <c r="M89" s="722"/>
      <c r="N89" s="722"/>
      <c r="O89" s="722"/>
      <c r="P89" s="722"/>
      <c r="Q89" s="4"/>
    </row>
    <row r="90" spans="1:17" ht="114.95" customHeight="1" x14ac:dyDescent="0.2">
      <c r="A90" s="2"/>
      <c r="B90" s="2"/>
      <c r="C90" s="3"/>
      <c r="D90" s="4"/>
      <c r="E90" s="4"/>
      <c r="F90" s="719" t="s">
        <v>50</v>
      </c>
      <c r="G90" s="719"/>
      <c r="H90" s="719"/>
      <c r="I90" s="719"/>
      <c r="J90" s="720" t="s">
        <v>455</v>
      </c>
      <c r="K90" s="720"/>
      <c r="L90" s="720"/>
      <c r="M90" s="720"/>
      <c r="N90" s="720"/>
      <c r="O90" s="720"/>
      <c r="P90" s="720"/>
      <c r="Q90" s="4"/>
    </row>
    <row r="91" spans="1:17" x14ac:dyDescent="0.2">
      <c r="A91" s="2"/>
      <c r="B91" s="2"/>
      <c r="C91" s="3"/>
      <c r="D91" s="4"/>
      <c r="E91" s="4"/>
      <c r="F91" s="4"/>
      <c r="G91" s="4"/>
      <c r="H91" s="4"/>
      <c r="I91" s="4"/>
      <c r="J91" s="4"/>
      <c r="K91" s="4"/>
      <c r="L91" s="4"/>
      <c r="M91" s="4"/>
      <c r="N91" s="4"/>
      <c r="O91" s="4"/>
      <c r="P91" s="4"/>
      <c r="Q91" s="4"/>
    </row>
    <row r="92" spans="1:17" ht="15" x14ac:dyDescent="0.2">
      <c r="A92" s="2"/>
      <c r="B92" s="2"/>
      <c r="C92" s="3"/>
      <c r="D92" s="4"/>
      <c r="E92" s="4"/>
      <c r="F92" s="721" t="s">
        <v>20</v>
      </c>
      <c r="G92" s="721"/>
      <c r="H92" s="721"/>
      <c r="I92" s="721"/>
      <c r="J92" s="721"/>
      <c r="K92" s="721"/>
      <c r="L92" s="721"/>
      <c r="M92" s="721"/>
      <c r="N92" s="721"/>
      <c r="O92" s="721"/>
      <c r="P92" s="721"/>
      <c r="Q92" s="4"/>
    </row>
    <row r="93" spans="1:17" ht="9.9499999999999993" customHeight="1" x14ac:dyDescent="0.2">
      <c r="A93" s="2"/>
      <c r="B93" s="2"/>
      <c r="C93" s="3"/>
      <c r="D93" s="4"/>
      <c r="E93" s="4"/>
      <c r="F93" s="4"/>
      <c r="G93" s="4"/>
      <c r="H93" s="4"/>
      <c r="I93" s="4"/>
      <c r="J93" s="4"/>
      <c r="K93" s="4"/>
      <c r="L93" s="4"/>
      <c r="M93" s="4"/>
      <c r="N93" s="4"/>
      <c r="O93" s="4"/>
      <c r="P93" s="4"/>
      <c r="Q93" s="4"/>
    </row>
    <row r="94" spans="1:17" x14ac:dyDescent="0.2">
      <c r="A94" s="2"/>
      <c r="B94" s="2"/>
      <c r="C94" s="3"/>
      <c r="D94" s="4"/>
      <c r="E94" s="4"/>
      <c r="F94" s="17" t="s">
        <v>1038</v>
      </c>
      <c r="G94" s="4"/>
      <c r="H94" s="4"/>
      <c r="I94" s="4"/>
      <c r="J94" s="4"/>
      <c r="K94" s="4"/>
      <c r="L94" s="4"/>
      <c r="M94" s="4"/>
      <c r="N94" s="4"/>
      <c r="O94" s="535">
        <v>100</v>
      </c>
      <c r="P94" s="324" t="s">
        <v>1037</v>
      </c>
      <c r="Q94" s="4"/>
    </row>
    <row r="95" spans="1:17" x14ac:dyDescent="0.2">
      <c r="A95" s="2"/>
      <c r="B95" s="2"/>
      <c r="C95" s="3"/>
      <c r="D95" s="4"/>
      <c r="E95" s="4"/>
      <c r="F95" s="17" t="s">
        <v>1039</v>
      </c>
      <c r="G95" s="4"/>
      <c r="H95" s="4"/>
      <c r="I95" s="4"/>
      <c r="J95" s="4"/>
      <c r="K95" s="4"/>
      <c r="L95" s="4"/>
      <c r="M95" s="4"/>
      <c r="N95" s="4"/>
      <c r="O95" s="535">
        <v>12</v>
      </c>
      <c r="P95" s="324" t="s">
        <v>214</v>
      </c>
      <c r="Q95" s="4"/>
    </row>
    <row r="96" spans="1:17" x14ac:dyDescent="0.2">
      <c r="A96" s="2"/>
      <c r="B96" s="2"/>
      <c r="C96" s="3"/>
      <c r="D96" s="4"/>
      <c r="E96" s="4"/>
      <c r="F96" s="4"/>
      <c r="G96" s="4"/>
      <c r="H96" s="4"/>
      <c r="I96" s="4"/>
      <c r="J96" s="4"/>
      <c r="K96" s="4"/>
      <c r="L96" s="4"/>
      <c r="M96" s="4"/>
      <c r="N96" s="4"/>
      <c r="O96" s="4"/>
      <c r="P96" s="4"/>
      <c r="Q96" s="4"/>
    </row>
    <row r="97" spans="1:17" ht="15" x14ac:dyDescent="0.2">
      <c r="A97" s="2"/>
      <c r="B97" s="2"/>
      <c r="C97" s="3"/>
      <c r="D97" s="4"/>
      <c r="E97" s="4"/>
      <c r="F97" s="721" t="s">
        <v>36</v>
      </c>
      <c r="G97" s="721"/>
      <c r="H97" s="721"/>
      <c r="I97" s="721"/>
      <c r="J97" s="721"/>
      <c r="K97" s="721"/>
      <c r="L97" s="721"/>
      <c r="M97" s="721"/>
      <c r="N97" s="721"/>
      <c r="O97" s="721"/>
      <c r="P97" s="721"/>
      <c r="Q97" s="4"/>
    </row>
    <row r="98" spans="1:17" ht="9.9499999999999993" customHeight="1" x14ac:dyDescent="0.2">
      <c r="A98" s="2"/>
      <c r="B98" s="2"/>
      <c r="C98" s="3"/>
      <c r="D98" s="4"/>
      <c r="E98" s="4"/>
      <c r="F98" s="4"/>
      <c r="G98" s="4"/>
      <c r="H98" s="4"/>
      <c r="I98" s="4"/>
      <c r="J98" s="4"/>
      <c r="K98" s="4"/>
      <c r="L98" s="4"/>
      <c r="M98" s="4"/>
      <c r="N98" s="4"/>
      <c r="O98" s="4"/>
      <c r="P98" s="4"/>
      <c r="Q98" s="4"/>
    </row>
    <row r="99" spans="1:17" x14ac:dyDescent="0.2">
      <c r="A99" s="2"/>
      <c r="B99" s="2"/>
      <c r="C99" s="3"/>
      <c r="D99" s="4"/>
      <c r="E99" s="4"/>
      <c r="F99" s="17" t="s">
        <v>223</v>
      </c>
      <c r="G99" s="4"/>
      <c r="H99" s="4"/>
      <c r="I99" s="4"/>
      <c r="J99" s="4"/>
      <c r="K99" s="4"/>
      <c r="L99" s="4"/>
      <c r="M99" s="4"/>
      <c r="N99" s="4"/>
      <c r="O99" s="306">
        <f>Datos_recursos!D68</f>
        <v>36</v>
      </c>
      <c r="P99" s="324" t="s">
        <v>803</v>
      </c>
      <c r="Q99" s="4"/>
    </row>
    <row r="100" spans="1:17" x14ac:dyDescent="0.2">
      <c r="A100" s="2"/>
      <c r="B100" s="2"/>
      <c r="C100" s="3"/>
      <c r="D100" s="4"/>
      <c r="E100" s="4"/>
      <c r="F100" s="17" t="s">
        <v>213</v>
      </c>
      <c r="G100" s="4"/>
      <c r="H100" s="4"/>
      <c r="I100" s="4"/>
      <c r="J100" s="4"/>
      <c r="K100" s="4"/>
      <c r="L100" s="4"/>
      <c r="M100" s="4"/>
      <c r="N100" s="4"/>
      <c r="O100" s="306">
        <f>Datos_recursos!D69</f>
        <v>12</v>
      </c>
      <c r="P100" s="324" t="s">
        <v>214</v>
      </c>
      <c r="Q100" s="4"/>
    </row>
    <row r="101" spans="1:17" x14ac:dyDescent="0.2">
      <c r="A101" s="2"/>
      <c r="B101" s="2"/>
      <c r="C101" s="3"/>
      <c r="D101" s="4"/>
      <c r="E101" s="4"/>
      <c r="F101" s="17"/>
      <c r="G101" s="4"/>
      <c r="H101" s="4"/>
      <c r="I101" s="4"/>
      <c r="J101" s="4"/>
      <c r="K101" s="4"/>
      <c r="L101" s="4"/>
      <c r="M101" s="4"/>
      <c r="N101" s="4"/>
      <c r="O101" s="57"/>
      <c r="P101" s="57"/>
      <c r="Q101" s="4"/>
    </row>
    <row r="102" spans="1:17" x14ac:dyDescent="0.2">
      <c r="A102" s="2"/>
      <c r="B102" s="2"/>
      <c r="C102" s="3"/>
      <c r="D102" s="4"/>
      <c r="E102" s="4"/>
      <c r="F102" s="4"/>
      <c r="G102" s="4"/>
      <c r="H102" s="4"/>
      <c r="I102" s="4"/>
      <c r="J102" s="4"/>
      <c r="K102" s="4"/>
      <c r="L102" s="4"/>
      <c r="M102" s="4"/>
      <c r="N102" s="4"/>
      <c r="O102" s="4"/>
      <c r="P102" s="4"/>
      <c r="Q102" s="4"/>
    </row>
    <row r="103" spans="1:17" ht="20.100000000000001" customHeight="1" x14ac:dyDescent="0.2">
      <c r="A103" s="2"/>
      <c r="B103" s="2"/>
      <c r="C103" s="3"/>
      <c r="D103" s="4"/>
      <c r="E103" s="725" t="s">
        <v>292</v>
      </c>
      <c r="F103" s="719" t="s">
        <v>2</v>
      </c>
      <c r="G103" s="719"/>
      <c r="H103" s="719"/>
      <c r="I103" s="719"/>
      <c r="J103" s="722" t="s">
        <v>703</v>
      </c>
      <c r="K103" s="722"/>
      <c r="L103" s="722"/>
      <c r="M103" s="722"/>
      <c r="N103" s="722"/>
      <c r="O103" s="722"/>
      <c r="P103" s="722"/>
      <c r="Q103" s="4"/>
    </row>
    <row r="104" spans="1:17" ht="30" customHeight="1" x14ac:dyDescent="0.2">
      <c r="A104" s="2"/>
      <c r="B104" s="2"/>
      <c r="C104" s="3"/>
      <c r="D104" s="4"/>
      <c r="E104" s="725"/>
      <c r="F104" s="701" t="s">
        <v>3</v>
      </c>
      <c r="G104" s="702"/>
      <c r="H104" s="702"/>
      <c r="I104" s="703"/>
      <c r="J104" s="707" t="s">
        <v>807</v>
      </c>
      <c r="K104" s="708"/>
      <c r="L104" s="708"/>
      <c r="M104" s="708"/>
      <c r="N104" s="708"/>
      <c r="O104" s="708"/>
      <c r="P104" s="709"/>
      <c r="Q104" s="4"/>
    </row>
    <row r="105" spans="1:17" ht="30" customHeight="1" x14ac:dyDescent="0.2">
      <c r="A105" s="2"/>
      <c r="B105" s="2"/>
      <c r="C105" s="3"/>
      <c r="D105" s="4"/>
      <c r="E105" s="4"/>
      <c r="F105" s="704"/>
      <c r="G105" s="705"/>
      <c r="H105" s="705"/>
      <c r="I105" s="706"/>
      <c r="J105" s="710"/>
      <c r="K105" s="711"/>
      <c r="L105" s="711"/>
      <c r="M105" s="711"/>
      <c r="N105" s="711"/>
      <c r="O105" s="711"/>
      <c r="P105" s="712"/>
      <c r="Q105" s="4"/>
    </row>
    <row r="106" spans="1:17" ht="69.95" customHeight="1" x14ac:dyDescent="0.2">
      <c r="A106" s="2"/>
      <c r="B106" s="2"/>
      <c r="C106" s="3"/>
      <c r="D106" s="4"/>
      <c r="E106" s="4"/>
      <c r="F106" s="719" t="s">
        <v>50</v>
      </c>
      <c r="G106" s="719"/>
      <c r="H106" s="719"/>
      <c r="I106" s="719"/>
      <c r="J106" s="720" t="s">
        <v>641</v>
      </c>
      <c r="K106" s="720"/>
      <c r="L106" s="720"/>
      <c r="M106" s="720"/>
      <c r="N106" s="720"/>
      <c r="O106" s="720"/>
      <c r="P106" s="720"/>
      <c r="Q106" s="4"/>
    </row>
    <row r="107" spans="1:17" x14ac:dyDescent="0.2">
      <c r="A107" s="2"/>
      <c r="B107" s="2"/>
      <c r="C107" s="3"/>
      <c r="D107" s="4"/>
      <c r="E107" s="4"/>
      <c r="F107" s="4"/>
      <c r="G107" s="4"/>
      <c r="H107" s="4"/>
      <c r="I107" s="4"/>
      <c r="J107" s="4"/>
      <c r="K107" s="4"/>
      <c r="L107" s="4"/>
      <c r="M107" s="4"/>
      <c r="N107" s="4"/>
      <c r="O107" s="4"/>
      <c r="P107" s="4"/>
      <c r="Q107" s="4"/>
    </row>
    <row r="108" spans="1:17" ht="15" x14ac:dyDescent="0.2">
      <c r="A108" s="2"/>
      <c r="B108" s="2"/>
      <c r="C108" s="3"/>
      <c r="D108" s="4"/>
      <c r="E108" s="4"/>
      <c r="F108" s="721" t="s">
        <v>20</v>
      </c>
      <c r="G108" s="721"/>
      <c r="H108" s="721"/>
      <c r="I108" s="721"/>
      <c r="J108" s="721"/>
      <c r="K108" s="721"/>
      <c r="L108" s="721"/>
      <c r="M108" s="721"/>
      <c r="N108" s="721"/>
      <c r="O108" s="721"/>
      <c r="P108" s="721"/>
      <c r="Q108" s="4"/>
    </row>
    <row r="109" spans="1:17" ht="9.9499999999999993" customHeight="1" x14ac:dyDescent="0.2">
      <c r="A109" s="2"/>
      <c r="B109" s="2"/>
      <c r="C109" s="3"/>
      <c r="D109" s="4"/>
      <c r="E109" s="4"/>
      <c r="F109" s="4"/>
      <c r="G109" s="4"/>
      <c r="H109" s="4"/>
      <c r="I109" s="4"/>
      <c r="J109" s="4"/>
      <c r="K109" s="4"/>
      <c r="L109" s="4"/>
      <c r="M109" s="4"/>
      <c r="N109" s="4"/>
      <c r="O109" s="4"/>
      <c r="P109" s="4"/>
      <c r="Q109" s="4"/>
    </row>
    <row r="110" spans="1:17" ht="14.25" customHeight="1" x14ac:dyDescent="0.2">
      <c r="A110" s="2"/>
      <c r="B110" s="2"/>
      <c r="C110" s="3"/>
      <c r="D110" s="4"/>
      <c r="E110" s="4"/>
      <c r="F110" s="17" t="s">
        <v>1040</v>
      </c>
      <c r="G110" s="17"/>
      <c r="H110" s="4"/>
      <c r="I110" s="4"/>
      <c r="J110" s="4"/>
      <c r="K110" s="727" t="s">
        <v>661</v>
      </c>
      <c r="L110" s="727"/>
      <c r="M110" s="727"/>
      <c r="N110" s="727"/>
      <c r="O110" s="727"/>
      <c r="P110" s="726" t="str">
        <f>O113</f>
        <v>t desechos recuperadas/año</v>
      </c>
      <c r="Q110" s="4"/>
    </row>
    <row r="111" spans="1:17" x14ac:dyDescent="0.2">
      <c r="A111" s="2"/>
      <c r="B111" s="2"/>
      <c r="C111" s="3"/>
      <c r="D111" s="4"/>
      <c r="E111" s="4"/>
      <c r="F111" s="17"/>
      <c r="G111" s="17"/>
      <c r="H111" s="4"/>
      <c r="I111" s="4"/>
      <c r="J111" s="4"/>
      <c r="K111" s="727"/>
      <c r="L111" s="727"/>
      <c r="M111" s="727"/>
      <c r="N111" s="727"/>
      <c r="O111" s="727"/>
      <c r="P111" s="726"/>
      <c r="Q111" s="4"/>
    </row>
    <row r="112" spans="1:17" x14ac:dyDescent="0.2">
      <c r="A112" s="2"/>
      <c r="B112" s="2"/>
      <c r="C112" s="3"/>
      <c r="D112" s="4"/>
      <c r="E112" s="4"/>
      <c r="F112" s="17" t="s">
        <v>1041</v>
      </c>
      <c r="G112" s="17"/>
      <c r="H112" s="4"/>
      <c r="I112" s="4"/>
      <c r="J112" s="4"/>
      <c r="K112" s="715" t="s">
        <v>671</v>
      </c>
      <c r="L112" s="715"/>
      <c r="M112" s="715"/>
      <c r="N112" s="715"/>
      <c r="O112" s="715"/>
      <c r="P112" s="715"/>
      <c r="Q112" s="4"/>
    </row>
    <row r="113" spans="1:17" ht="14.25" customHeight="1" x14ac:dyDescent="0.2">
      <c r="A113" s="2"/>
      <c r="B113" s="2"/>
      <c r="C113" s="3"/>
      <c r="D113" s="4"/>
      <c r="E113" s="4"/>
      <c r="F113" s="17" t="s">
        <v>1056</v>
      </c>
      <c r="G113" s="17"/>
      <c r="H113" s="4"/>
      <c r="I113" s="4"/>
      <c r="J113" s="4"/>
      <c r="K113" s="714">
        <v>5000</v>
      </c>
      <c r="L113" s="714"/>
      <c r="M113" s="714"/>
      <c r="N113" s="4"/>
      <c r="O113" s="579" t="str">
        <f>IF(K110=Datos_recursos!H210,IF(K112="Gas Natural o GLP","Kg combustible/año","galones combustible/año"),VLOOKUP(K110,Datos_recursos!H206:I209,2,FALSE))</f>
        <v>t desechos recuperadas/año</v>
      </c>
      <c r="P113" s="579"/>
      <c r="Q113" s="4"/>
    </row>
    <row r="114" spans="1:17" x14ac:dyDescent="0.2">
      <c r="A114" s="2"/>
      <c r="B114" s="2"/>
      <c r="C114" s="3"/>
      <c r="D114" s="4"/>
      <c r="E114" s="4"/>
      <c r="F114" s="4"/>
      <c r="G114" s="4"/>
      <c r="H114" s="4"/>
      <c r="I114" s="4"/>
      <c r="J114" s="4"/>
      <c r="K114" s="4"/>
      <c r="L114" s="4"/>
      <c r="M114" s="4"/>
      <c r="N114" s="4"/>
      <c r="O114" s="4"/>
      <c r="P114" s="4"/>
      <c r="Q114" s="4"/>
    </row>
    <row r="115" spans="1:17" ht="15" x14ac:dyDescent="0.2">
      <c r="A115" s="2"/>
      <c r="B115" s="2"/>
      <c r="C115" s="3"/>
      <c r="D115" s="4"/>
      <c r="E115" s="4"/>
      <c r="F115" s="721" t="s">
        <v>36</v>
      </c>
      <c r="G115" s="721"/>
      <c r="H115" s="721"/>
      <c r="I115" s="721"/>
      <c r="J115" s="721"/>
      <c r="K115" s="721"/>
      <c r="L115" s="721"/>
      <c r="M115" s="721"/>
      <c r="N115" s="721"/>
      <c r="O115" s="721"/>
      <c r="P115" s="721"/>
      <c r="Q115" s="4"/>
    </row>
    <row r="116" spans="1:17" ht="9.9499999999999993" customHeight="1" x14ac:dyDescent="0.2">
      <c r="A116" s="2"/>
      <c r="B116" s="2"/>
      <c r="C116" s="3"/>
      <c r="D116" s="4"/>
      <c r="E116" s="4"/>
      <c r="F116" s="4"/>
      <c r="G116" s="4"/>
      <c r="H116" s="4"/>
      <c r="I116" s="4"/>
      <c r="J116" s="4"/>
      <c r="K116" s="4"/>
      <c r="L116" s="4"/>
      <c r="M116" s="4"/>
      <c r="N116" s="4"/>
      <c r="O116" s="4"/>
      <c r="P116" s="4"/>
      <c r="Q116" s="4"/>
    </row>
    <row r="117" spans="1:17" x14ac:dyDescent="0.2">
      <c r="A117" s="2"/>
      <c r="B117" s="2"/>
      <c r="C117" s="3"/>
      <c r="D117" s="4"/>
      <c r="E117" s="4"/>
      <c r="F117" s="17" t="s">
        <v>672</v>
      </c>
      <c r="G117" s="4"/>
      <c r="H117" s="4"/>
      <c r="I117" s="4"/>
      <c r="J117" s="4"/>
      <c r="K117" s="717">
        <f>Datos_recursos!C233</f>
        <v>5000</v>
      </c>
      <c r="L117" s="718"/>
      <c r="M117" s="718"/>
      <c r="N117" s="4"/>
      <c r="O117" s="324" t="str">
        <f>Datos_recursos!D233</f>
        <v>t desechos recuperadas/año</v>
      </c>
      <c r="P117" s="4"/>
      <c r="Q117" s="4"/>
    </row>
    <row r="118" spans="1:17" x14ac:dyDescent="0.2">
      <c r="A118" s="2"/>
      <c r="B118" s="2"/>
      <c r="C118" s="3"/>
      <c r="D118" s="4"/>
      <c r="E118" s="4"/>
      <c r="F118" s="4"/>
      <c r="G118" s="4"/>
      <c r="H118" s="4"/>
      <c r="I118" s="4"/>
      <c r="J118" s="4"/>
      <c r="K118" s="4"/>
      <c r="L118" s="4"/>
      <c r="M118" s="4"/>
      <c r="N118" s="4"/>
      <c r="O118" s="4"/>
      <c r="P118" s="4"/>
      <c r="Q118" s="4"/>
    </row>
    <row r="119" spans="1:17" x14ac:dyDescent="0.2">
      <c r="A119" s="2"/>
      <c r="B119" s="2"/>
      <c r="C119" s="3"/>
      <c r="D119" s="4"/>
      <c r="E119" s="4"/>
      <c r="F119" s="4"/>
      <c r="G119" s="4"/>
      <c r="H119" s="4"/>
      <c r="I119" s="4"/>
      <c r="J119" s="4"/>
      <c r="K119" s="4"/>
      <c r="L119" s="4"/>
      <c r="M119" s="4"/>
      <c r="N119" s="4"/>
      <c r="O119" s="4"/>
      <c r="P119" s="4"/>
      <c r="Q119" s="4"/>
    </row>
    <row r="120" spans="1:17" ht="20.100000000000001" customHeight="1" x14ac:dyDescent="0.2">
      <c r="A120" s="2"/>
      <c r="B120" s="2"/>
      <c r="C120" s="3"/>
      <c r="D120" s="4"/>
      <c r="E120" s="725" t="s">
        <v>290</v>
      </c>
      <c r="F120" s="719" t="s">
        <v>2</v>
      </c>
      <c r="G120" s="719"/>
      <c r="H120" s="719"/>
      <c r="I120" s="719"/>
      <c r="J120" s="722" t="s">
        <v>294</v>
      </c>
      <c r="K120" s="722"/>
      <c r="L120" s="722"/>
      <c r="M120" s="722"/>
      <c r="N120" s="722"/>
      <c r="O120" s="722"/>
      <c r="P120" s="722"/>
      <c r="Q120" s="4"/>
    </row>
    <row r="121" spans="1:17" ht="20.100000000000001" customHeight="1" x14ac:dyDescent="0.2">
      <c r="A121" s="2"/>
      <c r="B121" s="2"/>
      <c r="C121" s="3"/>
      <c r="D121" s="4"/>
      <c r="E121" s="725"/>
      <c r="F121" s="719" t="s">
        <v>3</v>
      </c>
      <c r="G121" s="719"/>
      <c r="H121" s="719"/>
      <c r="I121" s="719"/>
      <c r="J121" s="722" t="s">
        <v>277</v>
      </c>
      <c r="K121" s="722"/>
      <c r="L121" s="722"/>
      <c r="M121" s="722"/>
      <c r="N121" s="722"/>
      <c r="O121" s="722"/>
      <c r="P121" s="722"/>
      <c r="Q121" s="4"/>
    </row>
    <row r="122" spans="1:17" ht="50.1" customHeight="1" x14ac:dyDescent="0.2">
      <c r="A122" s="2"/>
      <c r="B122" s="2"/>
      <c r="C122" s="3"/>
      <c r="D122" s="4"/>
      <c r="E122" s="4"/>
      <c r="F122" s="719" t="s">
        <v>50</v>
      </c>
      <c r="G122" s="719"/>
      <c r="H122" s="719"/>
      <c r="I122" s="719"/>
      <c r="J122" s="720" t="s">
        <v>295</v>
      </c>
      <c r="K122" s="720"/>
      <c r="L122" s="720"/>
      <c r="M122" s="720"/>
      <c r="N122" s="720"/>
      <c r="O122" s="720"/>
      <c r="P122" s="720"/>
      <c r="Q122" s="4"/>
    </row>
    <row r="123" spans="1:17" x14ac:dyDescent="0.2">
      <c r="A123" s="2"/>
      <c r="B123" s="2"/>
      <c r="C123" s="3"/>
      <c r="D123" s="4"/>
      <c r="E123" s="4"/>
      <c r="F123" s="4"/>
      <c r="G123" s="4"/>
      <c r="H123" s="4"/>
      <c r="I123" s="4"/>
      <c r="J123" s="4"/>
      <c r="K123" s="4"/>
      <c r="L123" s="4"/>
      <c r="M123" s="4"/>
      <c r="N123" s="4"/>
      <c r="O123" s="4"/>
      <c r="P123" s="4"/>
      <c r="Q123" s="4"/>
    </row>
    <row r="124" spans="1:17" ht="15" x14ac:dyDescent="0.2">
      <c r="A124" s="2"/>
      <c r="B124" s="2"/>
      <c r="C124" s="3"/>
      <c r="D124" s="4"/>
      <c r="E124" s="4"/>
      <c r="F124" s="721" t="s">
        <v>20</v>
      </c>
      <c r="G124" s="721"/>
      <c r="H124" s="721"/>
      <c r="I124" s="721"/>
      <c r="J124" s="721"/>
      <c r="K124" s="721"/>
      <c r="L124" s="721"/>
      <c r="M124" s="721"/>
      <c r="N124" s="721"/>
      <c r="O124" s="721"/>
      <c r="P124" s="721"/>
      <c r="Q124" s="4"/>
    </row>
    <row r="125" spans="1:17" ht="9.9499999999999993" customHeight="1" x14ac:dyDescent="0.2">
      <c r="A125" s="2"/>
      <c r="B125" s="2"/>
      <c r="C125" s="3"/>
      <c r="D125" s="4"/>
      <c r="E125" s="4"/>
      <c r="F125" s="4"/>
      <c r="G125" s="4"/>
      <c r="H125" s="4"/>
      <c r="I125" s="4"/>
      <c r="J125" s="4"/>
      <c r="K125" s="4"/>
      <c r="L125" s="4"/>
      <c r="M125" s="4"/>
      <c r="N125" s="4"/>
      <c r="O125" s="4"/>
      <c r="P125" s="4"/>
      <c r="Q125" s="4"/>
    </row>
    <row r="126" spans="1:17" x14ac:dyDescent="0.2">
      <c r="A126" s="2"/>
      <c r="B126" s="2"/>
      <c r="C126" s="3"/>
      <c r="D126" s="4"/>
      <c r="E126" s="4"/>
      <c r="F126" s="17" t="s">
        <v>1036</v>
      </c>
      <c r="G126" s="17"/>
      <c r="H126" s="17"/>
      <c r="I126" s="4"/>
      <c r="J126" s="4"/>
      <c r="K126" s="4"/>
      <c r="L126" s="4"/>
      <c r="M126" s="4"/>
      <c r="N126" s="4"/>
      <c r="O126" s="527">
        <v>3500</v>
      </c>
      <c r="P126" s="324" t="s">
        <v>279</v>
      </c>
      <c r="Q126" s="4"/>
    </row>
    <row r="127" spans="1:17" x14ac:dyDescent="0.2">
      <c r="A127" s="2"/>
      <c r="B127" s="2"/>
      <c r="C127" s="3"/>
      <c r="D127" s="4"/>
      <c r="E127" s="4"/>
      <c r="F127" s="17"/>
      <c r="G127" s="17"/>
      <c r="H127" s="17"/>
      <c r="I127" s="4"/>
      <c r="J127" s="4"/>
      <c r="K127" s="4"/>
      <c r="L127" s="4"/>
      <c r="M127" s="4"/>
      <c r="N127" s="4"/>
      <c r="O127" s="4"/>
      <c r="P127" s="4"/>
      <c r="Q127" s="4"/>
    </row>
    <row r="128" spans="1:17" x14ac:dyDescent="0.2">
      <c r="A128" s="2"/>
      <c r="B128" s="2"/>
      <c r="C128" s="3"/>
      <c r="D128" s="4"/>
      <c r="E128" s="4"/>
      <c r="F128" s="4"/>
      <c r="G128" s="4"/>
      <c r="H128" s="4"/>
      <c r="I128" s="4"/>
      <c r="J128" s="4"/>
      <c r="K128" s="4"/>
      <c r="L128" s="4"/>
      <c r="M128" s="4"/>
      <c r="N128" s="4"/>
      <c r="O128" s="4"/>
      <c r="P128" s="4"/>
      <c r="Q128" s="4"/>
    </row>
    <row r="129" spans="1:17" ht="30" customHeight="1" x14ac:dyDescent="0.2">
      <c r="A129" s="2"/>
      <c r="B129" s="2"/>
      <c r="C129" s="3"/>
      <c r="D129" s="4"/>
      <c r="E129" s="725" t="s">
        <v>292</v>
      </c>
      <c r="F129" s="719" t="s">
        <v>2</v>
      </c>
      <c r="G129" s="719"/>
      <c r="H129" s="719"/>
      <c r="I129" s="719"/>
      <c r="J129" s="722" t="s">
        <v>296</v>
      </c>
      <c r="K129" s="722"/>
      <c r="L129" s="722"/>
      <c r="M129" s="722"/>
      <c r="N129" s="722"/>
      <c r="O129" s="722"/>
      <c r="P129" s="722"/>
      <c r="Q129" s="4"/>
    </row>
    <row r="130" spans="1:17" ht="20.100000000000001" customHeight="1" x14ac:dyDescent="0.2">
      <c r="A130" s="2"/>
      <c r="B130" s="2"/>
      <c r="C130" s="3"/>
      <c r="D130" s="4"/>
      <c r="E130" s="725"/>
      <c r="F130" s="719" t="s">
        <v>3</v>
      </c>
      <c r="G130" s="719"/>
      <c r="H130" s="719"/>
      <c r="I130" s="719"/>
      <c r="J130" s="722" t="s">
        <v>297</v>
      </c>
      <c r="K130" s="722"/>
      <c r="L130" s="722"/>
      <c r="M130" s="722"/>
      <c r="N130" s="722"/>
      <c r="O130" s="722"/>
      <c r="P130" s="722"/>
      <c r="Q130" s="4"/>
    </row>
    <row r="131" spans="1:17" ht="90" customHeight="1" x14ac:dyDescent="0.2">
      <c r="A131" s="2"/>
      <c r="B131" s="2"/>
      <c r="C131" s="3"/>
      <c r="D131" s="4"/>
      <c r="E131" s="4"/>
      <c r="F131" s="719" t="s">
        <v>4</v>
      </c>
      <c r="G131" s="719"/>
      <c r="H131" s="719"/>
      <c r="I131" s="719"/>
      <c r="J131" s="720" t="s">
        <v>673</v>
      </c>
      <c r="K131" s="720"/>
      <c r="L131" s="720"/>
      <c r="M131" s="720"/>
      <c r="N131" s="720"/>
      <c r="O131" s="720"/>
      <c r="P131" s="720"/>
      <c r="Q131" s="4"/>
    </row>
    <row r="132" spans="1:17" x14ac:dyDescent="0.2">
      <c r="A132" s="2"/>
      <c r="B132" s="2"/>
      <c r="C132" s="3"/>
      <c r="D132" s="4"/>
      <c r="E132" s="4"/>
      <c r="F132" s="4"/>
      <c r="G132" s="4"/>
      <c r="H132" s="4"/>
      <c r="I132" s="4"/>
      <c r="J132" s="4"/>
      <c r="K132" s="4"/>
      <c r="L132" s="4"/>
      <c r="M132" s="4"/>
      <c r="N132" s="4"/>
      <c r="O132" s="4"/>
      <c r="P132" s="4"/>
      <c r="Q132" s="4"/>
    </row>
    <row r="133" spans="1:17" ht="15" x14ac:dyDescent="0.2">
      <c r="A133" s="2"/>
      <c r="B133" s="2"/>
      <c r="C133" s="3"/>
      <c r="D133" s="4"/>
      <c r="E133" s="4"/>
      <c r="F133" s="721" t="s">
        <v>20</v>
      </c>
      <c r="G133" s="721"/>
      <c r="H133" s="721"/>
      <c r="I133" s="721"/>
      <c r="J133" s="721"/>
      <c r="K133" s="721"/>
      <c r="L133" s="721"/>
      <c r="M133" s="721"/>
      <c r="N133" s="721"/>
      <c r="O133" s="721"/>
      <c r="P133" s="721"/>
      <c r="Q133" s="4"/>
    </row>
    <row r="134" spans="1:17" ht="9.9499999999999993" customHeight="1" x14ac:dyDescent="0.2">
      <c r="A134" s="2"/>
      <c r="B134" s="2"/>
      <c r="C134" s="3"/>
      <c r="D134" s="4"/>
      <c r="E134" s="4"/>
      <c r="F134" s="4"/>
      <c r="G134" s="4"/>
      <c r="H134" s="4"/>
      <c r="I134" s="4"/>
      <c r="J134" s="4"/>
      <c r="K134" s="4"/>
      <c r="L134" s="4"/>
      <c r="M134" s="4"/>
      <c r="N134" s="4"/>
      <c r="O134" s="4"/>
      <c r="P134" s="4"/>
      <c r="Q134" s="4"/>
    </row>
    <row r="135" spans="1:17" ht="14.25" customHeight="1" x14ac:dyDescent="0.2">
      <c r="A135" s="2"/>
      <c r="B135" s="2"/>
      <c r="C135" s="3"/>
      <c r="D135" s="4"/>
      <c r="E135" s="4"/>
      <c r="F135" s="17" t="s">
        <v>1055</v>
      </c>
      <c r="G135" s="4"/>
      <c r="H135" s="4"/>
      <c r="I135" s="4"/>
      <c r="J135" s="735" t="s">
        <v>301</v>
      </c>
      <c r="K135" s="735"/>
      <c r="L135" s="735"/>
      <c r="M135" s="4"/>
      <c r="N135" s="4"/>
      <c r="O135" s="542">
        <v>5</v>
      </c>
      <c r="P135" s="324" t="s">
        <v>1037</v>
      </c>
      <c r="Q135" s="4"/>
    </row>
    <row r="136" spans="1:17" x14ac:dyDescent="0.2">
      <c r="A136" s="2"/>
      <c r="B136" s="2"/>
      <c r="C136" s="3"/>
      <c r="D136" s="4"/>
      <c r="E136" s="4"/>
      <c r="F136" s="17" t="s">
        <v>1057</v>
      </c>
      <c r="G136" s="4"/>
      <c r="H136" s="4"/>
      <c r="I136" s="4"/>
      <c r="J136" s="735" t="s">
        <v>302</v>
      </c>
      <c r="K136" s="735"/>
      <c r="L136" s="735"/>
      <c r="M136" s="4"/>
      <c r="N136" s="4"/>
      <c r="O136" s="542">
        <v>6</v>
      </c>
      <c r="P136" s="324" t="s">
        <v>1037</v>
      </c>
      <c r="Q136" s="4"/>
    </row>
    <row r="137" spans="1:17" x14ac:dyDescent="0.2">
      <c r="A137" s="2"/>
      <c r="B137" s="2"/>
      <c r="C137" s="3"/>
      <c r="D137" s="4"/>
      <c r="E137" s="4"/>
      <c r="F137" s="4"/>
      <c r="G137" s="4"/>
      <c r="H137" s="4"/>
      <c r="I137" s="4"/>
      <c r="J137" s="4"/>
      <c r="K137" s="4"/>
      <c r="L137" s="4"/>
      <c r="M137" s="4"/>
      <c r="N137" s="4"/>
      <c r="O137" s="476"/>
      <c r="P137" s="4"/>
      <c r="Q137" s="4"/>
    </row>
    <row r="138" spans="1:17" x14ac:dyDescent="0.2">
      <c r="A138" s="2"/>
      <c r="B138" s="2"/>
      <c r="C138" s="3"/>
      <c r="D138" s="4"/>
      <c r="E138" s="4"/>
      <c r="F138" s="4"/>
      <c r="G138" s="4"/>
      <c r="H138" s="4"/>
      <c r="I138" s="4"/>
      <c r="J138" s="4"/>
      <c r="K138" s="4"/>
      <c r="L138" s="4"/>
      <c r="M138" s="4"/>
      <c r="N138" s="4"/>
      <c r="O138" s="4"/>
      <c r="P138" s="4"/>
      <c r="Q138" s="4"/>
    </row>
    <row r="139" spans="1:17" ht="54.95" customHeight="1" x14ac:dyDescent="0.2">
      <c r="A139" s="2"/>
      <c r="B139" s="2"/>
      <c r="C139" s="3"/>
      <c r="D139" s="4"/>
      <c r="E139" s="103" t="s">
        <v>293</v>
      </c>
      <c r="F139" s="719" t="s">
        <v>2</v>
      </c>
      <c r="G139" s="719"/>
      <c r="H139" s="719"/>
      <c r="I139" s="719"/>
      <c r="J139" s="736" t="s">
        <v>303</v>
      </c>
      <c r="K139" s="722"/>
      <c r="L139" s="722"/>
      <c r="M139" s="722"/>
      <c r="N139" s="722"/>
      <c r="O139" s="722"/>
      <c r="P139" s="722"/>
      <c r="Q139" s="4"/>
    </row>
    <row r="140" spans="1:17" ht="20.100000000000001" customHeight="1" x14ac:dyDescent="0.2">
      <c r="A140" s="2"/>
      <c r="B140" s="2"/>
      <c r="C140" s="3"/>
      <c r="D140" s="4"/>
      <c r="E140" s="4"/>
      <c r="F140" s="719" t="s">
        <v>3</v>
      </c>
      <c r="G140" s="719"/>
      <c r="H140" s="719"/>
      <c r="I140" s="719"/>
      <c r="J140" s="722" t="s">
        <v>277</v>
      </c>
      <c r="K140" s="722"/>
      <c r="L140" s="722"/>
      <c r="M140" s="722"/>
      <c r="N140" s="722"/>
      <c r="O140" s="722"/>
      <c r="P140" s="722"/>
      <c r="Q140" s="4"/>
    </row>
    <row r="141" spans="1:17" ht="69.95" customHeight="1" x14ac:dyDescent="0.2">
      <c r="A141" s="2"/>
      <c r="B141" s="2"/>
      <c r="C141" s="3"/>
      <c r="D141" s="4"/>
      <c r="E141" s="4"/>
      <c r="F141" s="719" t="s">
        <v>4</v>
      </c>
      <c r="G141" s="719"/>
      <c r="H141" s="719"/>
      <c r="I141" s="719"/>
      <c r="J141" s="720" t="s">
        <v>674</v>
      </c>
      <c r="K141" s="720"/>
      <c r="L141" s="720"/>
      <c r="M141" s="720"/>
      <c r="N141" s="720"/>
      <c r="O141" s="720"/>
      <c r="P141" s="720"/>
      <c r="Q141" s="4"/>
    </row>
    <row r="142" spans="1:17" x14ac:dyDescent="0.2">
      <c r="A142" s="2"/>
      <c r="B142" s="2"/>
      <c r="C142" s="3"/>
      <c r="D142" s="4"/>
      <c r="E142" s="4"/>
      <c r="F142" s="4"/>
      <c r="G142" s="4"/>
      <c r="H142" s="4"/>
      <c r="I142" s="4"/>
      <c r="J142" s="4"/>
      <c r="K142" s="4"/>
      <c r="L142" s="4"/>
      <c r="M142" s="4"/>
      <c r="N142" s="4"/>
      <c r="O142" s="4"/>
      <c r="P142" s="4"/>
      <c r="Q142" s="4"/>
    </row>
    <row r="143" spans="1:17" ht="15" x14ac:dyDescent="0.2">
      <c r="A143" s="2"/>
      <c r="B143" s="2"/>
      <c r="C143" s="3"/>
      <c r="D143" s="4"/>
      <c r="E143" s="4"/>
      <c r="F143" s="721" t="s">
        <v>20</v>
      </c>
      <c r="G143" s="721"/>
      <c r="H143" s="721"/>
      <c r="I143" s="721"/>
      <c r="J143" s="721"/>
      <c r="K143" s="721"/>
      <c r="L143" s="721"/>
      <c r="M143" s="721"/>
      <c r="N143" s="721"/>
      <c r="O143" s="721"/>
      <c r="P143" s="721"/>
      <c r="Q143" s="4"/>
    </row>
    <row r="144" spans="1:17" ht="9.9499999999999993" customHeight="1" x14ac:dyDescent="0.2">
      <c r="A144" s="2"/>
      <c r="B144" s="2"/>
      <c r="C144" s="3"/>
      <c r="D144" s="4"/>
      <c r="E144" s="4"/>
      <c r="F144" s="4"/>
      <c r="G144" s="4"/>
      <c r="H144" s="4"/>
      <c r="I144" s="4"/>
      <c r="J144" s="4"/>
      <c r="K144" s="4"/>
      <c r="L144" s="4"/>
      <c r="M144" s="4"/>
      <c r="N144" s="4"/>
      <c r="O144" s="4"/>
      <c r="P144" s="4"/>
      <c r="Q144" s="4"/>
    </row>
    <row r="145" spans="1:17" ht="9.9499999999999993" customHeight="1" x14ac:dyDescent="0.2">
      <c r="A145" s="2"/>
      <c r="B145" s="2"/>
      <c r="C145" s="3"/>
      <c r="D145" s="4"/>
      <c r="E145" s="4"/>
      <c r="F145" s="377" t="s">
        <v>1115</v>
      </c>
      <c r="G145" s="4"/>
      <c r="H145" s="4"/>
      <c r="I145" s="4"/>
      <c r="J145" s="4"/>
      <c r="K145" s="4"/>
      <c r="L145" s="4"/>
      <c r="M145" s="4"/>
      <c r="N145" s="4"/>
      <c r="O145" s="4"/>
      <c r="P145" s="4"/>
      <c r="Q145" s="4"/>
    </row>
    <row r="146" spans="1:17" ht="9.9499999999999993" customHeight="1" x14ac:dyDescent="0.2">
      <c r="A146" s="2"/>
      <c r="B146" s="2"/>
      <c r="C146" s="3"/>
      <c r="D146" s="4"/>
      <c r="E146" s="4"/>
      <c r="F146" s="4"/>
      <c r="G146" s="4"/>
      <c r="H146" s="4"/>
      <c r="I146" s="4"/>
      <c r="J146" s="4"/>
      <c r="K146" s="4"/>
      <c r="L146" s="4"/>
      <c r="M146" s="4"/>
      <c r="N146" s="4"/>
      <c r="O146" s="4"/>
      <c r="P146" s="4"/>
      <c r="Q146" s="4"/>
    </row>
    <row r="147" spans="1:17" x14ac:dyDescent="0.2">
      <c r="A147" s="2"/>
      <c r="B147" s="2"/>
      <c r="C147" s="3"/>
      <c r="D147" s="4"/>
      <c r="E147" s="4"/>
      <c r="F147" s="17" t="s">
        <v>1059</v>
      </c>
      <c r="G147" s="4"/>
      <c r="H147" s="4"/>
      <c r="I147" s="4"/>
      <c r="J147" s="587" t="s">
        <v>308</v>
      </c>
      <c r="K147" s="587"/>
      <c r="L147" s="587"/>
      <c r="M147" s="587"/>
      <c r="N147" s="587"/>
      <c r="O147" s="587"/>
      <c r="P147" s="587"/>
      <c r="Q147" s="4"/>
    </row>
    <row r="148" spans="1:17" x14ac:dyDescent="0.2">
      <c r="A148" s="2"/>
      <c r="B148" s="2"/>
      <c r="C148" s="3"/>
      <c r="D148" s="4"/>
      <c r="E148" s="4"/>
      <c r="F148" s="17" t="s">
        <v>1060</v>
      </c>
      <c r="G148" s="17"/>
      <c r="H148" s="17"/>
      <c r="I148" s="4"/>
      <c r="J148" s="4"/>
      <c r="K148" s="4"/>
      <c r="L148" s="4"/>
      <c r="M148" s="4"/>
      <c r="N148" s="4"/>
      <c r="O148" s="527">
        <v>250</v>
      </c>
      <c r="P148" s="377" t="s">
        <v>279</v>
      </c>
      <c r="Q148" s="4"/>
    </row>
    <row r="149" spans="1:17" x14ac:dyDescent="0.2">
      <c r="A149" s="2"/>
      <c r="B149" s="2"/>
      <c r="C149" s="3"/>
      <c r="D149" s="4"/>
      <c r="E149" s="4"/>
      <c r="F149" s="4"/>
      <c r="G149" s="4"/>
      <c r="H149" s="4"/>
      <c r="I149" s="4"/>
      <c r="J149" s="4"/>
      <c r="K149" s="4"/>
      <c r="L149" s="4"/>
      <c r="M149" s="4"/>
      <c r="N149" s="4"/>
      <c r="O149" s="4"/>
      <c r="P149" s="4"/>
      <c r="Q149" s="4"/>
    </row>
    <row r="150" spans="1:17" x14ac:dyDescent="0.2">
      <c r="A150" s="2"/>
      <c r="B150" s="2"/>
      <c r="C150" s="3"/>
      <c r="D150" s="4"/>
      <c r="E150" s="4"/>
      <c r="F150" s="4"/>
      <c r="G150" s="4"/>
      <c r="H150" s="4"/>
      <c r="I150" s="4"/>
      <c r="J150" s="4"/>
      <c r="K150" s="4"/>
      <c r="L150" s="4"/>
      <c r="M150" s="4"/>
      <c r="N150" s="4"/>
      <c r="O150" s="4"/>
      <c r="P150" s="4"/>
      <c r="Q150" s="4"/>
    </row>
    <row r="151" spans="1:17" ht="39.950000000000003" customHeight="1" x14ac:dyDescent="0.2">
      <c r="A151" s="2"/>
      <c r="B151" s="2"/>
      <c r="C151" s="3"/>
      <c r="D151" s="4"/>
      <c r="E151" s="103" t="s">
        <v>648</v>
      </c>
      <c r="F151" s="719" t="s">
        <v>2</v>
      </c>
      <c r="G151" s="719"/>
      <c r="H151" s="719"/>
      <c r="I151" s="719"/>
      <c r="J151" s="722" t="s">
        <v>649</v>
      </c>
      <c r="K151" s="722"/>
      <c r="L151" s="722"/>
      <c r="M151" s="722"/>
      <c r="N151" s="722"/>
      <c r="O151" s="722"/>
      <c r="P151" s="722"/>
      <c r="Q151" s="4"/>
    </row>
    <row r="152" spans="1:17" ht="20.100000000000001" customHeight="1" x14ac:dyDescent="0.2">
      <c r="A152" s="2"/>
      <c r="B152" s="2"/>
      <c r="C152" s="3"/>
      <c r="D152" s="4"/>
      <c r="E152" s="4"/>
      <c r="F152" s="719" t="s">
        <v>3</v>
      </c>
      <c r="G152" s="719"/>
      <c r="H152" s="719"/>
      <c r="I152" s="719"/>
      <c r="J152" s="722" t="s">
        <v>651</v>
      </c>
      <c r="K152" s="722"/>
      <c r="L152" s="722"/>
      <c r="M152" s="722"/>
      <c r="N152" s="722"/>
      <c r="O152" s="722"/>
      <c r="P152" s="722"/>
      <c r="Q152" s="4"/>
    </row>
    <row r="153" spans="1:17" ht="99.95" customHeight="1" x14ac:dyDescent="0.2">
      <c r="A153" s="2"/>
      <c r="B153" s="2"/>
      <c r="C153" s="3"/>
      <c r="D153" s="4"/>
      <c r="E153" s="4"/>
      <c r="F153" s="719" t="s">
        <v>50</v>
      </c>
      <c r="G153" s="719"/>
      <c r="H153" s="719"/>
      <c r="I153" s="719"/>
      <c r="J153" s="720" t="s">
        <v>650</v>
      </c>
      <c r="K153" s="720"/>
      <c r="L153" s="720"/>
      <c r="M153" s="720"/>
      <c r="N153" s="720"/>
      <c r="O153" s="720"/>
      <c r="P153" s="720"/>
      <c r="Q153" s="4"/>
    </row>
    <row r="154" spans="1:17" x14ac:dyDescent="0.2">
      <c r="A154" s="2"/>
      <c r="B154" s="2"/>
      <c r="C154" s="3"/>
      <c r="D154" s="4"/>
      <c r="E154" s="4"/>
      <c r="F154" s="4"/>
      <c r="G154" s="4"/>
      <c r="H154" s="4"/>
      <c r="I154" s="4"/>
      <c r="J154" s="4"/>
      <c r="K154" s="4"/>
      <c r="L154" s="4"/>
      <c r="M154" s="4"/>
      <c r="N154" s="4"/>
      <c r="O154" s="4"/>
      <c r="P154" s="4"/>
      <c r="Q154" s="4"/>
    </row>
    <row r="155" spans="1:17" ht="15" x14ac:dyDescent="0.2">
      <c r="A155" s="2"/>
      <c r="B155" s="2"/>
      <c r="C155" s="3"/>
      <c r="D155" s="4"/>
      <c r="E155" s="4"/>
      <c r="F155" s="721" t="s">
        <v>20</v>
      </c>
      <c r="G155" s="721"/>
      <c r="H155" s="721"/>
      <c r="I155" s="721"/>
      <c r="J155" s="721"/>
      <c r="K155" s="721"/>
      <c r="L155" s="721"/>
      <c r="M155" s="721"/>
      <c r="N155" s="721"/>
      <c r="O155" s="721"/>
      <c r="P155" s="721"/>
      <c r="Q155" s="4"/>
    </row>
    <row r="156" spans="1:17" ht="9.9499999999999993" customHeight="1" x14ac:dyDescent="0.2">
      <c r="A156" s="2"/>
      <c r="B156" s="2"/>
      <c r="C156" s="3"/>
      <c r="D156" s="4"/>
      <c r="E156" s="4"/>
      <c r="F156" s="4"/>
      <c r="G156" s="4"/>
      <c r="H156" s="4"/>
      <c r="I156" s="4"/>
      <c r="J156" s="4"/>
      <c r="K156" s="4"/>
      <c r="L156" s="4"/>
      <c r="M156" s="4"/>
      <c r="N156" s="4"/>
      <c r="O156" s="4"/>
      <c r="P156" s="4"/>
      <c r="Q156" s="4"/>
    </row>
    <row r="157" spans="1:17" x14ac:dyDescent="0.2">
      <c r="A157" s="2"/>
      <c r="B157" s="2"/>
      <c r="C157" s="3"/>
      <c r="D157" s="4"/>
      <c r="E157" s="4"/>
      <c r="F157" s="17" t="s">
        <v>1062</v>
      </c>
      <c r="G157" s="4"/>
      <c r="H157" s="4"/>
      <c r="I157" s="4"/>
      <c r="J157" s="4"/>
      <c r="K157" s="4"/>
      <c r="L157" s="4"/>
      <c r="M157" s="4"/>
      <c r="N157" s="4"/>
      <c r="O157" s="723">
        <v>23</v>
      </c>
      <c r="P157" s="724" t="s">
        <v>458</v>
      </c>
      <c r="Q157" s="4"/>
    </row>
    <row r="158" spans="1:17" x14ac:dyDescent="0.2">
      <c r="A158" s="2"/>
      <c r="B158" s="2"/>
      <c r="C158" s="3"/>
      <c r="D158" s="4"/>
      <c r="E158" s="4"/>
      <c r="F158" s="17" t="s">
        <v>1061</v>
      </c>
      <c r="G158" s="4"/>
      <c r="H158" s="4"/>
      <c r="I158" s="4"/>
      <c r="J158" s="4"/>
      <c r="K158" s="4"/>
      <c r="L158" s="4"/>
      <c r="M158" s="4"/>
      <c r="N158" s="4"/>
      <c r="O158" s="723"/>
      <c r="P158" s="724"/>
      <c r="Q158" s="4"/>
    </row>
    <row r="159" spans="1:17" x14ac:dyDescent="0.2">
      <c r="A159" s="2"/>
      <c r="B159" s="2"/>
      <c r="C159" s="3"/>
      <c r="D159" s="4"/>
      <c r="E159" s="4"/>
      <c r="F159" s="17" t="s">
        <v>1063</v>
      </c>
      <c r="G159" s="4"/>
      <c r="H159" s="4"/>
      <c r="I159" s="4"/>
      <c r="J159" s="4"/>
      <c r="K159" s="4"/>
      <c r="L159" s="4"/>
      <c r="M159" s="4"/>
      <c r="N159" s="4"/>
      <c r="O159" s="723">
        <v>12</v>
      </c>
      <c r="P159" s="573" t="s">
        <v>652</v>
      </c>
      <c r="Q159" s="4"/>
    </row>
    <row r="160" spans="1:17" x14ac:dyDescent="0.2">
      <c r="A160" s="2"/>
      <c r="B160" s="2"/>
      <c r="C160" s="3"/>
      <c r="D160" s="4"/>
      <c r="E160" s="4"/>
      <c r="F160" s="17" t="s">
        <v>1058</v>
      </c>
      <c r="G160" s="4"/>
      <c r="H160" s="4"/>
      <c r="I160" s="4"/>
      <c r="J160" s="4"/>
      <c r="K160" s="4"/>
      <c r="L160" s="4"/>
      <c r="M160" s="4"/>
      <c r="N160" s="4"/>
      <c r="O160" s="723"/>
      <c r="P160" s="573"/>
      <c r="Q160" s="4"/>
    </row>
    <row r="161" spans="1:17" x14ac:dyDescent="0.2">
      <c r="A161" s="2"/>
      <c r="B161" s="2"/>
      <c r="C161" s="3"/>
      <c r="D161" s="4"/>
      <c r="E161" s="4"/>
      <c r="F161" s="4"/>
      <c r="G161" s="4"/>
      <c r="H161" s="4"/>
      <c r="I161" s="4"/>
      <c r="J161" s="4"/>
      <c r="K161" s="4"/>
      <c r="L161" s="4"/>
      <c r="M161" s="4"/>
      <c r="N161" s="4"/>
      <c r="O161" s="4"/>
      <c r="P161" s="4"/>
      <c r="Q161" s="4"/>
    </row>
    <row r="162" spans="1:17" ht="15" x14ac:dyDescent="0.2">
      <c r="A162" s="2"/>
      <c r="B162" s="2"/>
      <c r="C162" s="3"/>
      <c r="D162" s="4"/>
      <c r="E162" s="4"/>
      <c r="F162" s="721" t="s">
        <v>36</v>
      </c>
      <c r="G162" s="721"/>
      <c r="H162" s="721"/>
      <c r="I162" s="721"/>
      <c r="J162" s="721"/>
      <c r="K162" s="721"/>
      <c r="L162" s="721"/>
      <c r="M162" s="721"/>
      <c r="N162" s="721"/>
      <c r="O162" s="721"/>
      <c r="P162" s="721"/>
      <c r="Q162" s="4"/>
    </row>
    <row r="163" spans="1:17" ht="9.9499999999999993" customHeight="1" x14ac:dyDescent="0.2">
      <c r="A163" s="2"/>
      <c r="B163" s="2"/>
      <c r="C163" s="3"/>
      <c r="D163" s="4"/>
      <c r="E163" s="4"/>
      <c r="F163" s="4"/>
      <c r="G163" s="4"/>
      <c r="H163" s="4"/>
      <c r="I163" s="4"/>
      <c r="J163" s="4"/>
      <c r="K163" s="4"/>
      <c r="L163" s="4"/>
      <c r="M163" s="4"/>
      <c r="N163" s="4"/>
      <c r="O163" s="4"/>
      <c r="P163" s="4"/>
      <c r="Q163" s="4"/>
    </row>
    <row r="164" spans="1:17" x14ac:dyDescent="0.2">
      <c r="A164" s="2"/>
      <c r="B164" s="2"/>
      <c r="C164" s="3"/>
      <c r="D164" s="4"/>
      <c r="E164" s="4"/>
      <c r="F164" s="17" t="s">
        <v>653</v>
      </c>
      <c r="G164" s="4"/>
      <c r="H164" s="4"/>
      <c r="I164" s="4"/>
      <c r="J164" s="4"/>
      <c r="K164" s="4"/>
      <c r="L164" s="4"/>
      <c r="M164" s="4"/>
      <c r="N164" s="4"/>
      <c r="O164" s="306">
        <f>O157</f>
        <v>23</v>
      </c>
      <c r="P164" s="324" t="str">
        <f>P157</f>
        <v>personas</v>
      </c>
      <c r="Q164" s="4"/>
    </row>
    <row r="165" spans="1:17" x14ac:dyDescent="0.2">
      <c r="A165" s="2"/>
      <c r="B165" s="2"/>
      <c r="C165" s="3"/>
      <c r="D165" s="4"/>
      <c r="E165" s="4"/>
      <c r="F165" s="17" t="s">
        <v>654</v>
      </c>
      <c r="G165" s="4"/>
      <c r="H165" s="4"/>
      <c r="I165" s="4"/>
      <c r="J165" s="4"/>
      <c r="K165" s="4"/>
      <c r="L165" s="4"/>
      <c r="M165" s="4"/>
      <c r="N165" s="4"/>
      <c r="O165" s="19">
        <f>O159</f>
        <v>12</v>
      </c>
      <c r="P165" s="573" t="str">
        <f>P159</f>
        <v>comunidades y organizaciones</v>
      </c>
      <c r="Q165" s="4"/>
    </row>
    <row r="166" spans="1:17" x14ac:dyDescent="0.2">
      <c r="A166" s="2"/>
      <c r="B166" s="2"/>
      <c r="C166" s="3"/>
      <c r="D166" s="4"/>
      <c r="E166" s="4"/>
      <c r="F166" s="4"/>
      <c r="G166" s="4"/>
      <c r="H166" s="4"/>
      <c r="I166" s="4"/>
      <c r="J166" s="4"/>
      <c r="K166" s="4"/>
      <c r="L166" s="4"/>
      <c r="M166" s="4"/>
      <c r="N166" s="4"/>
      <c r="O166" s="4"/>
      <c r="P166" s="573"/>
      <c r="Q166" s="4"/>
    </row>
    <row r="167" spans="1:17" x14ac:dyDescent="0.2">
      <c r="A167" s="2"/>
      <c r="B167" s="2"/>
      <c r="C167" s="3"/>
      <c r="D167" s="4"/>
      <c r="E167" s="4"/>
      <c r="F167" s="4"/>
      <c r="G167" s="4"/>
      <c r="H167" s="4"/>
      <c r="I167" s="4"/>
      <c r="J167" s="4"/>
      <c r="K167" s="4"/>
      <c r="L167" s="4"/>
      <c r="M167" s="4"/>
      <c r="N167" s="4"/>
      <c r="O167" s="4"/>
      <c r="P167" s="4"/>
      <c r="Q167" s="4"/>
    </row>
  </sheetData>
  <sheetProtection algorithmName="SHA-512" hashValue="bcheAOLNTuwAtlsM8vfRY3FZENA2eOZvNeJLmD19gDcofg/QOGZq30KCGbkm8uRVffSY5xpJxHWnmEZJZNmQDA==" saltValue="hwmFWfSDPHbuzlyrPSad5g==" spinCount="100000" sheet="1" objects="1" scenarios="1"/>
  <mergeCells count="112">
    <mergeCell ref="J136:L136"/>
    <mergeCell ref="F143:P143"/>
    <mergeCell ref="J147:P147"/>
    <mergeCell ref="F139:I139"/>
    <mergeCell ref="J139:P139"/>
    <mergeCell ref="F140:I140"/>
    <mergeCell ref="J140:P140"/>
    <mergeCell ref="F133:P133"/>
    <mergeCell ref="F141:I141"/>
    <mergeCell ref="J141:P141"/>
    <mergeCell ref="J135:L135"/>
    <mergeCell ref="F18:I18"/>
    <mergeCell ref="J18:P18"/>
    <mergeCell ref="F19:I19"/>
    <mergeCell ref="J19:P19"/>
    <mergeCell ref="E30:E31"/>
    <mergeCell ref="E44:E45"/>
    <mergeCell ref="F44:I44"/>
    <mergeCell ref="J44:P44"/>
    <mergeCell ref="F45:I45"/>
    <mergeCell ref="J45:P45"/>
    <mergeCell ref="J30:P30"/>
    <mergeCell ref="F31:I31"/>
    <mergeCell ref="J31:P31"/>
    <mergeCell ref="F32:I32"/>
    <mergeCell ref="J32:P32"/>
    <mergeCell ref="F34:P34"/>
    <mergeCell ref="O37:P37"/>
    <mergeCell ref="F39:P39"/>
    <mergeCell ref="F89:I89"/>
    <mergeCell ref="J89:P89"/>
    <mergeCell ref="F90:I90"/>
    <mergeCell ref="J90:P90"/>
    <mergeCell ref="F92:P92"/>
    <mergeCell ref="F97:P97"/>
    <mergeCell ref="F20:I20"/>
    <mergeCell ref="J20:P20"/>
    <mergeCell ref="F22:P22"/>
    <mergeCell ref="F30:I30"/>
    <mergeCell ref="F77:P77"/>
    <mergeCell ref="F82:P82"/>
    <mergeCell ref="F62:P62"/>
    <mergeCell ref="J58:P58"/>
    <mergeCell ref="F59:I59"/>
    <mergeCell ref="J59:P59"/>
    <mergeCell ref="O65:P65"/>
    <mergeCell ref="O80:P80"/>
    <mergeCell ref="F75:I75"/>
    <mergeCell ref="J75:P75"/>
    <mergeCell ref="E73:E74"/>
    <mergeCell ref="F73:I73"/>
    <mergeCell ref="J73:P73"/>
    <mergeCell ref="F74:I74"/>
    <mergeCell ref="J74:P74"/>
    <mergeCell ref="E58:E59"/>
    <mergeCell ref="F58:I58"/>
    <mergeCell ref="J46:P46"/>
    <mergeCell ref="F46:I46"/>
    <mergeCell ref="F60:I60"/>
    <mergeCell ref="J60:P60"/>
    <mergeCell ref="F67:P67"/>
    <mergeCell ref="F48:P48"/>
    <mergeCell ref="F53:P53"/>
    <mergeCell ref="O51:P51"/>
    <mergeCell ref="F106:I106"/>
    <mergeCell ref="F130:I130"/>
    <mergeCell ref="J130:P130"/>
    <mergeCell ref="P110:P111"/>
    <mergeCell ref="F129:I129"/>
    <mergeCell ref="J129:P129"/>
    <mergeCell ref="K110:O111"/>
    <mergeCell ref="F124:P124"/>
    <mergeCell ref="E88:E89"/>
    <mergeCell ref="F88:I88"/>
    <mergeCell ref="E103:E104"/>
    <mergeCell ref="J106:P106"/>
    <mergeCell ref="F108:P108"/>
    <mergeCell ref="F115:P115"/>
    <mergeCell ref="E120:E121"/>
    <mergeCell ref="F120:I120"/>
    <mergeCell ref="J120:P120"/>
    <mergeCell ref="F121:I121"/>
    <mergeCell ref="J121:P121"/>
    <mergeCell ref="F122:I122"/>
    <mergeCell ref="J122:P122"/>
    <mergeCell ref="F103:I103"/>
    <mergeCell ref="J103:P103"/>
    <mergeCell ref="J88:P88"/>
    <mergeCell ref="F104:I105"/>
    <mergeCell ref="J104:P105"/>
    <mergeCell ref="C3:M3"/>
    <mergeCell ref="K113:M113"/>
    <mergeCell ref="K112:P112"/>
    <mergeCell ref="M26:P26"/>
    <mergeCell ref="K117:M117"/>
    <mergeCell ref="O113:P113"/>
    <mergeCell ref="P165:P166"/>
    <mergeCell ref="F153:I153"/>
    <mergeCell ref="J153:P153"/>
    <mergeCell ref="F155:P155"/>
    <mergeCell ref="F162:P162"/>
    <mergeCell ref="P159:P160"/>
    <mergeCell ref="F151:I151"/>
    <mergeCell ref="J151:P151"/>
    <mergeCell ref="F152:I152"/>
    <mergeCell ref="J152:P152"/>
    <mergeCell ref="O159:O160"/>
    <mergeCell ref="O157:O158"/>
    <mergeCell ref="P157:P158"/>
    <mergeCell ref="F131:I131"/>
    <mergeCell ref="J131:P131"/>
    <mergeCell ref="E129:E130"/>
  </mergeCells>
  <hyperlinks>
    <hyperlink ref="G12" location="RECURSOS!E120" display="H. ISO 34101 para cacao sostenible y trazable" xr:uid="{F90FDE7A-9A97-4EB3-BD02-AC175828F35A}"/>
    <hyperlink ref="G13" location="RECURSOS!E129" display="I. Productos y/o insumos orgánicos" xr:uid="{012887D7-92AC-4877-9BA6-2AA91C4F36C1}"/>
    <hyperlink ref="G14" location="RECURSOS!E139" display="J. Certificaciones forestales sostenibles" xr:uid="{B650CFEC-FF45-443A-9D4E-61ADAA698D3F}"/>
    <hyperlink ref="G10" location="RECURSOS!E88" display="F. Lombricomposta" xr:uid="{26DFCDB5-6E1E-49AC-8572-F8009262BEFB}"/>
    <hyperlink ref="G8" location="RECURSOS!E58" display="D. Invernaderos: hidroponia y gestión desechos" xr:uid="{8DDCC208-9B1D-4F9B-A0C3-06DEED82250F}"/>
    <hyperlink ref="G6" location="RECURSOS!E30" display="B. Fertirrigación/ hidroponía" xr:uid="{2C6FD35E-65E9-4E2B-94AD-D64CF20EAF2C}"/>
    <hyperlink ref="G7" location="RECURSOS!E44" display="C. Riego por goteo o microaspersión" xr:uid="{56EFC802-6C8D-4483-9386-DEE4B382F0E5}"/>
    <hyperlink ref="G9" location="RECURSOS!E73" display="E. Sistemas silvopastoriles" xr:uid="{890B1C2E-FF84-42FC-9635-618CBEDF80A6}"/>
    <hyperlink ref="G11" location="RECURSOS!E103" display="G. Producción con Reconocimiento Punto Verde" xr:uid="{EF756283-B434-4F60-A3D6-895422CC2C95}"/>
    <hyperlink ref="G15" location="RECURSOS!E151" display="K. Bioemprendimientos" xr:uid="{825975BC-A0D0-4451-AA5B-156484AB0E7A}"/>
    <hyperlink ref="G5" location="RECURSOS!E18" display="A. Certificaciones agrícolas sostenibles" xr:uid="{FF478CBC-1223-4BDC-B172-B38AB8F77579}"/>
  </hyperlinks>
  <pageMargins left="0.7" right="0.7" top="0.75" bottom="0.75" header="0.3" footer="0.3"/>
  <pageSetup paperSize="9" orientation="portrait"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33" id="{45BBB8F9-D0ED-41FD-9B8B-829FAB8D2E87}">
            <xm:f>K$110=Datos_recursos!#REF!</xm:f>
            <x14:dxf>
              <font>
                <color rgb="FFDAE2E5"/>
              </font>
              <fill>
                <patternFill patternType="solid">
                  <fgColor indexed="64"/>
                  <bgColor rgb="FFDAE2E5"/>
                </patternFill>
              </fill>
            </x14:dxf>
          </x14:cfRule>
          <xm:sqref>F112</xm:sqref>
        </x14:conditionalFormatting>
        <x14:conditionalFormatting xmlns:xm="http://schemas.microsoft.com/office/excel/2006/main">
          <x14:cfRule type="expression" priority="35" id="{D0B6C782-484A-4BDD-B0EF-97067C1D98D9}">
            <xm:f>$K$110=Datos_recursos!#REF!</xm:f>
            <x14:dxf>
              <font>
                <color rgb="FFDAE2E5"/>
              </font>
              <fill>
                <patternFill patternType="solid">
                  <bgColor rgb="FFDAE2E5"/>
                </patternFill>
              </fill>
            </x14:dxf>
          </x14:cfRule>
          <xm:sqref>F112:K112</xm:sqref>
        </x14:conditionalFormatting>
        <x14:conditionalFormatting xmlns:xm="http://schemas.microsoft.com/office/excel/2006/main">
          <x14:cfRule type="expression" priority="34" id="{4F8010A2-0314-44E4-8A52-FD232117C1C0}">
            <xm:f>$K$110=Datos_recursos!#REF!</xm:f>
            <x14:dxf>
              <fill>
                <patternFill>
                  <bgColor rgb="FFF0F3F4"/>
                </patternFill>
              </fill>
            </x14:dxf>
          </x14:cfRule>
          <xm:sqref>K112</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198FEF8E-34D3-4820-8F59-C80AEAF4E751}">
          <x14:formula1>
            <xm:f>Datos_recursos!$B$44:$B$47</xm:f>
          </x14:formula1>
          <xm:sqref>J147:P147</xm:sqref>
        </x14:dataValidation>
        <x14:dataValidation type="list" allowBlank="1" showInputMessage="1" showErrorMessage="1" xr:uid="{30F56EDC-A028-4766-AAF1-A8D1180BC063}">
          <x14:formula1>
            <xm:f>Datos_recursos!$H$82:$H$83</xm:f>
          </x14:formula1>
          <xm:sqref>P64</xm:sqref>
        </x14:dataValidation>
        <x14:dataValidation type="list" allowBlank="1" showInputMessage="1" showErrorMessage="1" xr:uid="{9060253F-D912-45EC-AC09-9B24E6A63B3E}">
          <x14:formula1>
            <xm:f>Datos_recursos!$I$82:$I$89</xm:f>
          </x14:formula1>
          <xm:sqref>O65</xm:sqref>
        </x14:dataValidation>
        <x14:dataValidation type="list" allowBlank="1" showInputMessage="1" showErrorMessage="1" xr:uid="{7363D3BB-041D-414F-864D-D634E266DFF9}">
          <x14:formula1>
            <xm:f>Datos_recursos!$G$110:$G$111</xm:f>
          </x14:formula1>
          <xm:sqref>P50</xm:sqref>
        </x14:dataValidation>
        <x14:dataValidation type="list" allowBlank="1" showInputMessage="1" showErrorMessage="1" xr:uid="{40B4A4B6-0699-4449-A592-B3DCFF93594F}">
          <x14:formula1>
            <xm:f>Datos_recursos!$H$110:$H$118</xm:f>
          </x14:formula1>
          <xm:sqref>O51:P51</xm:sqref>
        </x14:dataValidation>
        <x14:dataValidation type="list" allowBlank="1" showInputMessage="1" showErrorMessage="1" xr:uid="{3C0AED2C-1A8E-4AF4-BED2-0DFA76D6C3C3}">
          <x14:formula1>
            <xm:f>Datos_recursos!$G$132:$G$133</xm:f>
          </x14:formula1>
          <xm:sqref>P36</xm:sqref>
        </x14:dataValidation>
        <x14:dataValidation type="list" allowBlank="1" showInputMessage="1" showErrorMessage="1" xr:uid="{72DFB5FB-49B8-4623-9FA3-4772218A6744}">
          <x14:formula1>
            <xm:f>Datos_recursos!$H$132:$H$140</xm:f>
          </x14:formula1>
          <xm:sqref>O37:P37</xm:sqref>
        </x14:dataValidation>
        <x14:dataValidation type="list" allowBlank="1" showInputMessage="1" showErrorMessage="1" xr:uid="{11BA0CB5-77E7-4D15-8624-D9E13A6201E4}">
          <x14:formula1>
            <xm:f>Datos_recursos!$F$194:$F$195</xm:f>
          </x14:formula1>
          <xm:sqref>P79</xm:sqref>
        </x14:dataValidation>
        <x14:dataValidation type="list" allowBlank="1" showInputMessage="1" showErrorMessage="1" xr:uid="{4A13F327-9D98-4FF9-A1B2-CEEA7FEADBE4}">
          <x14:formula1>
            <xm:f>Datos_recursos!$H$206:$H$210</xm:f>
          </x14:formula1>
          <xm:sqref>K110</xm:sqref>
        </x14:dataValidation>
        <x14:dataValidation type="list" allowBlank="1" showInputMessage="1" showErrorMessage="1" xr:uid="{8E740A08-2C23-437C-B11E-B37FBFC47515}">
          <x14:formula1>
            <xm:f>Datos_recursos!$A$225:$A$228</xm:f>
          </x14:formula1>
          <xm:sqref>K112</xm:sqref>
        </x14:dataValidation>
        <x14:dataValidation type="list" allowBlank="1" showInputMessage="1" showErrorMessage="1" xr:uid="{E7EAF870-AF2A-47C7-B560-9E92BD9B8FDD}">
          <x14:formula1>
            <xm:f>Datos_recursos!$B$38:$B$39</xm:f>
          </x14:formula1>
          <xm:sqref>J136:L136 J135</xm:sqref>
        </x14:dataValidation>
        <x14:dataValidation type="list" allowBlank="1" showInputMessage="1" showErrorMessage="1" xr:uid="{5BE2CD7C-C50E-4C27-B6BE-9CD4C966998D}">
          <x14:formula1>
            <xm:f>Datos_recursos!$B$5:$B$34</xm:f>
          </x14:formula1>
          <xm:sqref>M26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6DD17-FDDE-4A4D-8A1F-0C9394DB82A2}">
  <dimension ref="A1:P237"/>
  <sheetViews>
    <sheetView showGridLines="0" zoomScale="96" zoomScaleNormal="96" workbookViewId="0">
      <selection activeCell="B2" sqref="B2"/>
    </sheetView>
  </sheetViews>
  <sheetFormatPr baseColWidth="10" defaultColWidth="0" defaultRowHeight="14.25" zeroHeight="1" x14ac:dyDescent="0.2"/>
  <cols>
    <col min="1" max="1" width="35.75" customWidth="1"/>
    <col min="2" max="2" width="12.875" customWidth="1"/>
    <col min="3" max="5" width="11" customWidth="1"/>
    <col min="6" max="6" width="38.375" customWidth="1"/>
    <col min="7" max="7" width="34.25" customWidth="1"/>
    <col min="8" max="8" width="20.625" bestFit="1" customWidth="1"/>
    <col min="9" max="16" width="11" customWidth="1"/>
    <col min="17" max="16384" width="11" hidden="1"/>
  </cols>
  <sheetData>
    <row r="1" spans="2:4" x14ac:dyDescent="0.2"/>
    <row r="2" spans="2:4" ht="15" x14ac:dyDescent="0.2">
      <c r="B2" s="104" t="s">
        <v>311</v>
      </c>
      <c r="C2" s="104"/>
    </row>
    <row r="3" spans="2:4" x14ac:dyDescent="0.2"/>
    <row r="4" spans="2:4" ht="15" x14ac:dyDescent="0.2">
      <c r="B4" s="195" t="s">
        <v>306</v>
      </c>
      <c r="C4" s="196"/>
      <c r="D4" s="196"/>
    </row>
    <row r="5" spans="2:4" x14ac:dyDescent="0.2">
      <c r="B5" s="7" t="s">
        <v>247</v>
      </c>
    </row>
    <row r="6" spans="2:4" x14ac:dyDescent="0.2">
      <c r="B6" s="7" t="s">
        <v>248</v>
      </c>
    </row>
    <row r="7" spans="2:4" x14ac:dyDescent="0.2">
      <c r="B7" s="7" t="s">
        <v>249</v>
      </c>
    </row>
    <row r="8" spans="2:4" x14ac:dyDescent="0.2">
      <c r="B8" s="7" t="s">
        <v>250</v>
      </c>
    </row>
    <row r="9" spans="2:4" x14ac:dyDescent="0.2">
      <c r="B9" s="7" t="s">
        <v>251</v>
      </c>
    </row>
    <row r="10" spans="2:4" x14ac:dyDescent="0.2">
      <c r="B10" s="7" t="s">
        <v>252</v>
      </c>
    </row>
    <row r="11" spans="2:4" x14ac:dyDescent="0.2">
      <c r="B11" s="7" t="s">
        <v>253</v>
      </c>
    </row>
    <row r="12" spans="2:4" x14ac:dyDescent="0.2">
      <c r="B12" s="7" t="s">
        <v>254</v>
      </c>
    </row>
    <row r="13" spans="2:4" x14ac:dyDescent="0.2">
      <c r="B13" s="7" t="s">
        <v>255</v>
      </c>
    </row>
    <row r="14" spans="2:4" x14ac:dyDescent="0.2">
      <c r="B14" s="7" t="s">
        <v>256</v>
      </c>
    </row>
    <row r="15" spans="2:4" x14ac:dyDescent="0.2">
      <c r="B15" s="7" t="s">
        <v>257</v>
      </c>
    </row>
    <row r="16" spans="2:4" x14ac:dyDescent="0.2">
      <c r="B16" s="7" t="s">
        <v>258</v>
      </c>
    </row>
    <row r="17" spans="2:2" x14ac:dyDescent="0.2">
      <c r="B17" s="7" t="s">
        <v>259</v>
      </c>
    </row>
    <row r="18" spans="2:2" x14ac:dyDescent="0.2">
      <c r="B18" s="7" t="s">
        <v>260</v>
      </c>
    </row>
    <row r="19" spans="2:2" x14ac:dyDescent="0.2">
      <c r="B19" s="7" t="s">
        <v>261</v>
      </c>
    </row>
    <row r="20" spans="2:2" x14ac:dyDescent="0.2">
      <c r="B20" s="7" t="s">
        <v>262</v>
      </c>
    </row>
    <row r="21" spans="2:2" x14ac:dyDescent="0.2">
      <c r="B21" s="7" t="s">
        <v>263</v>
      </c>
    </row>
    <row r="22" spans="2:2" x14ac:dyDescent="0.2">
      <c r="B22" s="7" t="s">
        <v>264</v>
      </c>
    </row>
    <row r="23" spans="2:2" x14ac:dyDescent="0.2">
      <c r="B23" s="7" t="s">
        <v>265</v>
      </c>
    </row>
    <row r="24" spans="2:2" x14ac:dyDescent="0.2">
      <c r="B24" s="7" t="s">
        <v>266</v>
      </c>
    </row>
    <row r="25" spans="2:2" x14ac:dyDescent="0.2">
      <c r="B25" s="7" t="s">
        <v>267</v>
      </c>
    </row>
    <row r="26" spans="2:2" x14ac:dyDescent="0.2">
      <c r="B26" s="7" t="s">
        <v>268</v>
      </c>
    </row>
    <row r="27" spans="2:2" x14ac:dyDescent="0.2">
      <c r="B27" s="7" t="s">
        <v>269</v>
      </c>
    </row>
    <row r="28" spans="2:2" x14ac:dyDescent="0.2">
      <c r="B28" s="7" t="s">
        <v>270</v>
      </c>
    </row>
    <row r="29" spans="2:2" x14ac:dyDescent="0.2">
      <c r="B29" s="7" t="s">
        <v>271</v>
      </c>
    </row>
    <row r="30" spans="2:2" x14ac:dyDescent="0.2">
      <c r="B30" s="7" t="s">
        <v>272</v>
      </c>
    </row>
    <row r="31" spans="2:2" x14ac:dyDescent="0.2">
      <c r="B31" s="7" t="s">
        <v>273</v>
      </c>
    </row>
    <row r="32" spans="2:2" x14ac:dyDescent="0.2">
      <c r="B32" s="7" t="s">
        <v>274</v>
      </c>
    </row>
    <row r="33" spans="2:5" x14ac:dyDescent="0.2">
      <c r="B33" s="7" t="s">
        <v>275</v>
      </c>
    </row>
    <row r="34" spans="2:5" x14ac:dyDescent="0.2">
      <c r="B34" s="7" t="s">
        <v>276</v>
      </c>
    </row>
    <row r="35" spans="2:5" x14ac:dyDescent="0.2"/>
    <row r="36" spans="2:5" ht="15" x14ac:dyDescent="0.2">
      <c r="B36" s="104" t="s">
        <v>300</v>
      </c>
      <c r="C36" s="104"/>
      <c r="D36" s="197"/>
      <c r="E36" s="197"/>
    </row>
    <row r="37" spans="2:5" x14ac:dyDescent="0.2"/>
    <row r="38" spans="2:5" x14ac:dyDescent="0.2">
      <c r="B38" t="s">
        <v>301</v>
      </c>
    </row>
    <row r="39" spans="2:5" x14ac:dyDescent="0.2">
      <c r="B39" t="s">
        <v>302</v>
      </c>
    </row>
    <row r="40" spans="2:5" x14ac:dyDescent="0.2"/>
    <row r="41" spans="2:5" ht="15" x14ac:dyDescent="0.2">
      <c r="B41" s="104" t="s">
        <v>304</v>
      </c>
      <c r="C41" s="104"/>
      <c r="D41" s="197"/>
      <c r="E41" s="197"/>
    </row>
    <row r="42" spans="2:5" x14ac:dyDescent="0.2"/>
    <row r="43" spans="2:5" ht="15" x14ac:dyDescent="0.2">
      <c r="B43" s="195" t="s">
        <v>305</v>
      </c>
      <c r="C43" s="196"/>
      <c r="D43" s="196"/>
    </row>
    <row r="44" spans="2:5" x14ac:dyDescent="0.2">
      <c r="B44" s="7" t="s">
        <v>307</v>
      </c>
    </row>
    <row r="45" spans="2:5" x14ac:dyDescent="0.2">
      <c r="B45" s="7" t="s">
        <v>308</v>
      </c>
    </row>
    <row r="46" spans="2:5" x14ac:dyDescent="0.2">
      <c r="B46" s="7" t="s">
        <v>309</v>
      </c>
    </row>
    <row r="47" spans="2:5" x14ac:dyDescent="0.2">
      <c r="B47" s="7" t="s">
        <v>310</v>
      </c>
    </row>
    <row r="48" spans="2:5" x14ac:dyDescent="0.2"/>
    <row r="49" spans="2:6" ht="15" x14ac:dyDescent="0.2">
      <c r="B49" s="104" t="s">
        <v>459</v>
      </c>
      <c r="C49" s="104"/>
      <c r="D49" s="104"/>
      <c r="E49" s="104"/>
      <c r="F49" s="104"/>
    </row>
    <row r="50" spans="2:6" ht="15" x14ac:dyDescent="0.2">
      <c r="B50" s="182"/>
      <c r="C50" s="182"/>
      <c r="D50" s="182"/>
      <c r="E50" s="182"/>
      <c r="F50" s="182"/>
    </row>
    <row r="51" spans="2:6" x14ac:dyDescent="0.2">
      <c r="B51" s="78" t="s">
        <v>70</v>
      </c>
      <c r="C51" s="79"/>
      <c r="D51" s="36"/>
      <c r="E51" s="36"/>
      <c r="F51" s="36"/>
    </row>
    <row r="52" spans="2:6" x14ac:dyDescent="0.2">
      <c r="B52" s="757" t="s">
        <v>220</v>
      </c>
      <c r="C52" s="758"/>
      <c r="D52" s="758"/>
      <c r="E52" s="758"/>
      <c r="F52" s="759"/>
    </row>
    <row r="53" spans="2:6" x14ac:dyDescent="0.2">
      <c r="B53" s="36"/>
      <c r="C53" s="36"/>
      <c r="D53" s="36"/>
      <c r="E53" s="36"/>
      <c r="F53" s="36"/>
    </row>
    <row r="54" spans="2:6" x14ac:dyDescent="0.2">
      <c r="B54" s="78" t="s">
        <v>72</v>
      </c>
      <c r="C54" s="79"/>
      <c r="D54" s="36"/>
      <c r="E54" s="36"/>
      <c r="F54" s="36"/>
    </row>
    <row r="55" spans="2:6" x14ac:dyDescent="0.2">
      <c r="B55" s="751" t="s">
        <v>221</v>
      </c>
      <c r="C55" s="752"/>
      <c r="D55" s="752"/>
      <c r="E55" s="752"/>
      <c r="F55" s="753"/>
    </row>
    <row r="56" spans="2:6" x14ac:dyDescent="0.2">
      <c r="B56" s="82"/>
      <c r="C56" s="82"/>
      <c r="D56" s="82"/>
      <c r="E56" s="82"/>
      <c r="F56" s="36"/>
    </row>
    <row r="57" spans="2:6" ht="28.5" x14ac:dyDescent="0.2">
      <c r="B57" s="101" t="s">
        <v>74</v>
      </c>
      <c r="C57" s="180"/>
      <c r="D57" s="180"/>
      <c r="E57" s="180"/>
      <c r="F57" s="180" t="s">
        <v>456</v>
      </c>
    </row>
    <row r="58" spans="2:6" ht="15" x14ac:dyDescent="0.25">
      <c r="B58" s="760" t="s">
        <v>809</v>
      </c>
      <c r="C58" s="760"/>
      <c r="D58" s="761" t="s">
        <v>457</v>
      </c>
      <c r="E58" s="761"/>
      <c r="F58" s="181">
        <v>360</v>
      </c>
    </row>
    <row r="59" spans="2:6" x14ac:dyDescent="0.2">
      <c r="B59" s="82"/>
      <c r="C59" s="82"/>
      <c r="D59" s="82"/>
      <c r="E59" s="82"/>
      <c r="F59" s="36"/>
    </row>
    <row r="60" spans="2:6" x14ac:dyDescent="0.2">
      <c r="B60" s="762" t="s">
        <v>139</v>
      </c>
      <c r="C60" s="762"/>
      <c r="D60" s="762"/>
      <c r="E60" s="83" t="s">
        <v>108</v>
      </c>
      <c r="F60" s="83" t="s">
        <v>140</v>
      </c>
    </row>
    <row r="61" spans="2:6" ht="15" x14ac:dyDescent="0.2">
      <c r="B61" s="763" t="s">
        <v>222</v>
      </c>
      <c r="C61" s="763"/>
      <c r="D61" s="763"/>
      <c r="E61" s="183">
        <f>RECURSOS!O94</f>
        <v>100</v>
      </c>
      <c r="F61" s="84" t="s">
        <v>206</v>
      </c>
    </row>
    <row r="62" spans="2:6" ht="15" x14ac:dyDescent="0.2">
      <c r="B62" s="763" t="s">
        <v>209</v>
      </c>
      <c r="C62" s="763"/>
      <c r="D62" s="763"/>
      <c r="E62" s="183">
        <f>RECURSOS!O95</f>
        <v>12</v>
      </c>
      <c r="F62" s="84" t="s">
        <v>458</v>
      </c>
    </row>
    <row r="63" spans="2:6" x14ac:dyDescent="0.2">
      <c r="B63" s="36"/>
      <c r="C63" s="36"/>
      <c r="D63" s="36"/>
      <c r="E63" s="36"/>
      <c r="F63" s="36"/>
    </row>
    <row r="64" spans="2:6" x14ac:dyDescent="0.2">
      <c r="B64" s="36"/>
      <c r="C64" s="36"/>
      <c r="D64" s="36"/>
      <c r="E64" s="36"/>
      <c r="F64" s="36"/>
    </row>
    <row r="65" spans="1:14" x14ac:dyDescent="0.2">
      <c r="B65" s="36"/>
      <c r="C65" s="36"/>
      <c r="D65" s="36"/>
      <c r="E65" s="36"/>
      <c r="F65" s="36"/>
    </row>
    <row r="66" spans="1:14" x14ac:dyDescent="0.2">
      <c r="B66" s="78" t="s">
        <v>148</v>
      </c>
      <c r="C66" s="79"/>
      <c r="D66" s="36"/>
      <c r="E66" s="36"/>
      <c r="F66" s="36"/>
    </row>
    <row r="67" spans="1:14" x14ac:dyDescent="0.2">
      <c r="B67" s="71" t="s">
        <v>85</v>
      </c>
      <c r="C67" s="71"/>
      <c r="D67" s="72" t="s">
        <v>3</v>
      </c>
      <c r="E67" s="72" t="s">
        <v>140</v>
      </c>
      <c r="F67" s="36"/>
    </row>
    <row r="68" spans="1:14" ht="15" x14ac:dyDescent="0.25">
      <c r="B68" s="764" t="s">
        <v>223</v>
      </c>
      <c r="C68" s="765"/>
      <c r="D68" s="73">
        <f>+E61*F58/1000</f>
        <v>36</v>
      </c>
      <c r="E68" s="86" t="s">
        <v>803</v>
      </c>
      <c r="F68" s="36"/>
    </row>
    <row r="69" spans="1:14" x14ac:dyDescent="0.2">
      <c r="B69" s="766" t="s">
        <v>213</v>
      </c>
      <c r="C69" s="767"/>
      <c r="D69" s="74">
        <f>+E62</f>
        <v>12</v>
      </c>
      <c r="E69" s="75" t="s">
        <v>214</v>
      </c>
      <c r="F69" s="36"/>
    </row>
    <row r="70" spans="1:14" x14ac:dyDescent="0.2">
      <c r="B70" s="36"/>
      <c r="C70" s="36"/>
      <c r="D70" s="36"/>
      <c r="E70" s="36"/>
      <c r="F70" s="36"/>
    </row>
    <row r="71" spans="1:14" s="36" customFormat="1" x14ac:dyDescent="0.2">
      <c r="H71" s="60" t="s">
        <v>463</v>
      </c>
      <c r="I71" s="60" t="s">
        <v>464</v>
      </c>
      <c r="J71" s="60" t="s">
        <v>465</v>
      </c>
      <c r="K71" s="60" t="s">
        <v>466</v>
      </c>
      <c r="L71" s="60" t="s">
        <v>467</v>
      </c>
      <c r="M71" s="60" t="s">
        <v>468</v>
      </c>
      <c r="N71" s="184" t="s">
        <v>469</v>
      </c>
    </row>
    <row r="72" spans="1:14" s="36" customFormat="1" ht="15" x14ac:dyDescent="0.2">
      <c r="A72" s="104" t="s">
        <v>496</v>
      </c>
      <c r="B72" s="104"/>
      <c r="C72" s="104"/>
      <c r="D72" s="104"/>
      <c r="E72" s="104"/>
      <c r="H72" s="60" t="s">
        <v>470</v>
      </c>
      <c r="I72" s="60">
        <f>40*360</f>
        <v>14400</v>
      </c>
      <c r="J72" s="60">
        <f>100*360</f>
        <v>36000</v>
      </c>
      <c r="K72" s="185" t="s">
        <v>471</v>
      </c>
      <c r="L72" s="179">
        <v>1</v>
      </c>
      <c r="M72" s="60">
        <f t="shared" ref="M72:M79" si="0">+AVERAGE(I72:J72)</f>
        <v>25200</v>
      </c>
      <c r="N72" s="186">
        <f t="shared" ref="N72:N79" si="1">+M72*L72</f>
        <v>25200</v>
      </c>
    </row>
    <row r="73" spans="1:14" s="36" customFormat="1" x14ac:dyDescent="0.2">
      <c r="A73" s="187" t="s">
        <v>70</v>
      </c>
      <c r="H73" s="60" t="s">
        <v>472</v>
      </c>
      <c r="I73" s="60">
        <v>800</v>
      </c>
      <c r="J73" s="60">
        <v>1200</v>
      </c>
      <c r="K73" s="185" t="s">
        <v>473</v>
      </c>
      <c r="L73" s="179">
        <v>3</v>
      </c>
      <c r="M73" s="60">
        <f t="shared" si="0"/>
        <v>1000</v>
      </c>
      <c r="N73" s="186">
        <f t="shared" si="1"/>
        <v>3000</v>
      </c>
    </row>
    <row r="74" spans="1:14" s="36" customFormat="1" x14ac:dyDescent="0.2">
      <c r="A74" s="754" t="s">
        <v>474</v>
      </c>
      <c r="B74" s="755"/>
      <c r="C74" s="755"/>
      <c r="D74" s="755"/>
      <c r="E74" s="756"/>
      <c r="H74" s="60" t="s">
        <v>475</v>
      </c>
      <c r="I74" s="60">
        <f>50*90</f>
        <v>4500</v>
      </c>
      <c r="J74" s="60">
        <f>80*90</f>
        <v>7200</v>
      </c>
      <c r="K74" s="185" t="s">
        <v>476</v>
      </c>
      <c r="L74" s="185">
        <f>12/K74</f>
        <v>4</v>
      </c>
      <c r="M74" s="60">
        <f t="shared" si="0"/>
        <v>5850</v>
      </c>
      <c r="N74" s="186">
        <f t="shared" si="1"/>
        <v>23400</v>
      </c>
    </row>
    <row r="75" spans="1:14" s="36" customFormat="1" x14ac:dyDescent="0.2">
      <c r="H75" s="60" t="s">
        <v>477</v>
      </c>
      <c r="I75" s="60">
        <v>600</v>
      </c>
      <c r="J75" s="60">
        <v>800</v>
      </c>
      <c r="K75" s="185" t="s">
        <v>478</v>
      </c>
      <c r="L75" s="179">
        <v>4</v>
      </c>
      <c r="M75" s="60">
        <f t="shared" si="0"/>
        <v>700</v>
      </c>
      <c r="N75" s="186">
        <f t="shared" si="1"/>
        <v>2800</v>
      </c>
    </row>
    <row r="76" spans="1:14" s="36" customFormat="1" x14ac:dyDescent="0.2">
      <c r="A76" s="188" t="s">
        <v>72</v>
      </c>
      <c r="H76" s="60" t="s">
        <v>479</v>
      </c>
      <c r="I76" s="60">
        <v>4000</v>
      </c>
      <c r="J76" s="60">
        <v>8000</v>
      </c>
      <c r="K76" s="185" t="s">
        <v>480</v>
      </c>
      <c r="L76" s="185" t="s">
        <v>481</v>
      </c>
      <c r="M76" s="60">
        <f t="shared" si="0"/>
        <v>6000</v>
      </c>
      <c r="N76" s="186">
        <f t="shared" si="1"/>
        <v>24000</v>
      </c>
    </row>
    <row r="77" spans="1:14" s="36" customFormat="1" x14ac:dyDescent="0.2">
      <c r="A77" s="751" t="s">
        <v>482</v>
      </c>
      <c r="B77" s="752"/>
      <c r="C77" s="752"/>
      <c r="D77" s="752"/>
      <c r="E77" s="753"/>
      <c r="H77" s="60" t="s">
        <v>483</v>
      </c>
      <c r="I77" s="60">
        <v>4000</v>
      </c>
      <c r="J77" s="60">
        <v>8000</v>
      </c>
      <c r="K77" s="185" t="s">
        <v>484</v>
      </c>
      <c r="L77" s="185">
        <f>12/K77</f>
        <v>2.4</v>
      </c>
      <c r="M77" s="60">
        <f t="shared" si="0"/>
        <v>6000</v>
      </c>
      <c r="N77" s="186">
        <f t="shared" si="1"/>
        <v>14400</v>
      </c>
    </row>
    <row r="78" spans="1:14" s="36" customFormat="1" x14ac:dyDescent="0.2">
      <c r="A78" s="35"/>
      <c r="B78" s="35"/>
      <c r="C78" s="35"/>
      <c r="D78" s="35"/>
      <c r="E78" s="35"/>
      <c r="H78" s="60" t="s">
        <v>485</v>
      </c>
      <c r="I78" s="60">
        <v>5000</v>
      </c>
      <c r="J78" s="60">
        <v>7000</v>
      </c>
      <c r="K78" s="185" t="s">
        <v>476</v>
      </c>
      <c r="L78" s="179">
        <v>3</v>
      </c>
      <c r="M78" s="60">
        <f t="shared" si="0"/>
        <v>6000</v>
      </c>
      <c r="N78" s="186">
        <f t="shared" si="1"/>
        <v>18000</v>
      </c>
    </row>
    <row r="79" spans="1:14" s="36" customFormat="1" x14ac:dyDescent="0.2">
      <c r="A79" s="88"/>
      <c r="B79" s="88"/>
      <c r="H79" s="60" t="s">
        <v>486</v>
      </c>
      <c r="I79" s="60">
        <v>600</v>
      </c>
      <c r="J79" s="60">
        <v>800</v>
      </c>
      <c r="K79" s="60">
        <v>2.5</v>
      </c>
      <c r="L79" s="179">
        <v>4</v>
      </c>
      <c r="M79" s="60">
        <f t="shared" si="0"/>
        <v>700</v>
      </c>
      <c r="N79" s="186">
        <f t="shared" si="1"/>
        <v>2800</v>
      </c>
    </row>
    <row r="80" spans="1:14" s="36" customFormat="1" x14ac:dyDescent="0.2">
      <c r="A80" s="667" t="s">
        <v>74</v>
      </c>
      <c r="B80" s="667"/>
      <c r="C80" s="667"/>
      <c r="D80" s="667"/>
    </row>
    <row r="81" spans="1:9" s="36" customFormat="1" ht="30" x14ac:dyDescent="0.2">
      <c r="A81" s="89" t="s">
        <v>822</v>
      </c>
      <c r="B81" s="668" t="s">
        <v>823</v>
      </c>
      <c r="C81" s="669"/>
      <c r="D81" s="670"/>
    </row>
    <row r="82" spans="1:9" s="36" customFormat="1" ht="30" x14ac:dyDescent="0.2">
      <c r="A82" s="89" t="s">
        <v>487</v>
      </c>
      <c r="B82" s="745">
        <v>0.4</v>
      </c>
      <c r="C82" s="746"/>
      <c r="D82" s="747"/>
      <c r="H82" s="200" t="s">
        <v>497</v>
      </c>
      <c r="I82" s="200" t="s">
        <v>495</v>
      </c>
    </row>
    <row r="83" spans="1:9" s="36" customFormat="1" x14ac:dyDescent="0.2">
      <c r="A83" s="88"/>
      <c r="B83" s="88"/>
      <c r="H83" s="200" t="s">
        <v>498</v>
      </c>
      <c r="I83" s="200" t="s">
        <v>472</v>
      </c>
    </row>
    <row r="84" spans="1:9" s="36" customFormat="1" x14ac:dyDescent="0.2">
      <c r="A84" s="748" t="s">
        <v>82</v>
      </c>
      <c r="B84" s="748"/>
      <c r="C84" s="748"/>
      <c r="D84" s="178" t="s">
        <v>140</v>
      </c>
      <c r="H84" s="200"/>
      <c r="I84" s="200" t="s">
        <v>475</v>
      </c>
    </row>
    <row r="85" spans="1:9" s="36" customFormat="1" ht="45" customHeight="1" x14ac:dyDescent="0.2">
      <c r="A85" s="749" t="s">
        <v>461</v>
      </c>
      <c r="B85" s="750"/>
      <c r="C85" s="201">
        <f>RECURSOS!O64</f>
        <v>0.5</v>
      </c>
      <c r="D85" s="76" t="str">
        <f>RECURSOS!P64</f>
        <v>Kg</v>
      </c>
      <c r="H85" s="200"/>
      <c r="I85" s="200" t="s">
        <v>477</v>
      </c>
    </row>
    <row r="86" spans="1:9" s="36" customFormat="1" ht="41.25" customHeight="1" x14ac:dyDescent="0.2">
      <c r="A86" s="749" t="s">
        <v>462</v>
      </c>
      <c r="B86" s="750"/>
      <c r="C86" s="201" t="str">
        <f>RECURSOS!O65</f>
        <v>Frutillas y otras frutas pequeñas</v>
      </c>
      <c r="D86" s="60"/>
      <c r="E86" s="90"/>
      <c r="H86" s="200"/>
      <c r="I86" s="200" t="s">
        <v>479</v>
      </c>
    </row>
    <row r="87" spans="1:9" s="36" customFormat="1" x14ac:dyDescent="0.2">
      <c r="A87" s="90"/>
      <c r="B87" s="90"/>
      <c r="C87" s="90"/>
      <c r="E87" s="90"/>
      <c r="H87" s="199"/>
      <c r="I87" s="200" t="s">
        <v>483</v>
      </c>
    </row>
    <row r="88" spans="1:9" s="36" customFormat="1" x14ac:dyDescent="0.2">
      <c r="A88" s="90"/>
      <c r="B88" s="90"/>
      <c r="C88" s="90"/>
      <c r="E88" s="90"/>
      <c r="H88" s="199"/>
      <c r="I88" s="200" t="s">
        <v>485</v>
      </c>
    </row>
    <row r="89" spans="1:9" s="36" customFormat="1" x14ac:dyDescent="0.2">
      <c r="A89" s="187" t="s">
        <v>84</v>
      </c>
      <c r="B89" s="88"/>
      <c r="E89" s="90"/>
      <c r="H89" s="199"/>
      <c r="I89" s="200" t="s">
        <v>486</v>
      </c>
    </row>
    <row r="90" spans="1:9" s="36" customFormat="1" x14ac:dyDescent="0.2">
      <c r="A90" s="71" t="s">
        <v>85</v>
      </c>
      <c r="B90" s="71"/>
      <c r="C90" s="72" t="s">
        <v>3</v>
      </c>
      <c r="D90" s="72" t="s">
        <v>140</v>
      </c>
      <c r="E90" s="90"/>
    </row>
    <row r="91" spans="1:9" s="36" customFormat="1" ht="42" customHeight="1" x14ac:dyDescent="0.2">
      <c r="A91" s="654" t="s">
        <v>488</v>
      </c>
      <c r="B91" s="654"/>
      <c r="C91" s="189">
        <f>(IF(D85="m2",VLOOKUP(C86,Tabla224[],5,FALSE)*C85/10000,VLOOKUP(C86,Tabla224[],5,FALSE)*C85))*B82</f>
        <v>600</v>
      </c>
      <c r="D91" s="179" t="s">
        <v>149</v>
      </c>
      <c r="E91" s="90"/>
    </row>
    <row r="92" spans="1:9" s="36" customFormat="1" ht="44.25" customHeight="1" x14ac:dyDescent="0.2">
      <c r="A92" s="654" t="s">
        <v>824</v>
      </c>
      <c r="B92" s="654"/>
      <c r="C92" s="189">
        <f>+VLOOKUP(C86,Tabla224[],9,FALSE)</f>
        <v>1.4000000000000001</v>
      </c>
      <c r="D92" s="179" t="s">
        <v>825</v>
      </c>
      <c r="E92" s="90"/>
    </row>
    <row r="93" spans="1:9" s="36" customFormat="1" x14ac:dyDescent="0.2">
      <c r="A93" s="90"/>
      <c r="B93" s="90"/>
      <c r="C93" s="90"/>
    </row>
    <row r="94" spans="1:9" s="36" customFormat="1" x14ac:dyDescent="0.2">
      <c r="A94" s="88"/>
      <c r="B94" s="88"/>
    </row>
    <row r="95" spans="1:9" s="36" customFormat="1" x14ac:dyDescent="0.2">
      <c r="A95" s="88"/>
      <c r="B95" s="88"/>
    </row>
    <row r="96" spans="1:9" s="36" customFormat="1" x14ac:dyDescent="0.2">
      <c r="A96" s="655" t="s">
        <v>87</v>
      </c>
      <c r="B96" s="656"/>
      <c r="C96" s="656"/>
      <c r="D96" s="656"/>
      <c r="E96" s="656"/>
    </row>
    <row r="97" spans="1:9" s="36" customFormat="1" ht="75" x14ac:dyDescent="0.25">
      <c r="A97" s="60" t="s">
        <v>463</v>
      </c>
      <c r="B97" s="93" t="s">
        <v>826</v>
      </c>
      <c r="C97" s="93" t="s">
        <v>490</v>
      </c>
      <c r="D97" s="94" t="s">
        <v>491</v>
      </c>
      <c r="E97" s="94" t="s">
        <v>827</v>
      </c>
      <c r="F97" s="190" t="s">
        <v>492</v>
      </c>
      <c r="G97" s="190" t="s">
        <v>493</v>
      </c>
      <c r="H97" s="190" t="s">
        <v>494</v>
      </c>
      <c r="I97" s="190" t="s">
        <v>828</v>
      </c>
    </row>
    <row r="98" spans="1:9" s="36" customFormat="1" x14ac:dyDescent="0.2">
      <c r="A98" s="60" t="s">
        <v>495</v>
      </c>
      <c r="B98" s="191">
        <v>25200</v>
      </c>
      <c r="C98" s="185" t="s">
        <v>471</v>
      </c>
      <c r="D98" s="191">
        <v>1</v>
      </c>
      <c r="E98" s="191">
        <f t="shared" ref="E98:E105" si="2">+D98*B98</f>
        <v>25200</v>
      </c>
      <c r="I98" s="36">
        <f>+Tabla224[[#This Row],[Peso planta (Kg)]]*Tabla224[[#This Row],[No. Plantas /m2]]*10000*Tabla224[[#This Row],[% desechos organicos]]/1000</f>
        <v>0</v>
      </c>
    </row>
    <row r="99" spans="1:9" s="36" customFormat="1" x14ac:dyDescent="0.2">
      <c r="A99" s="60" t="s">
        <v>472</v>
      </c>
      <c r="B99" s="191">
        <v>1000</v>
      </c>
      <c r="C99" s="185" t="s">
        <v>473</v>
      </c>
      <c r="D99" s="191">
        <v>3</v>
      </c>
      <c r="E99" s="191">
        <f t="shared" si="2"/>
        <v>3000</v>
      </c>
      <c r="F99" s="36">
        <v>0.1</v>
      </c>
      <c r="G99" s="36">
        <v>7</v>
      </c>
      <c r="H99" s="192">
        <v>0.2</v>
      </c>
      <c r="I99" s="36">
        <f>+Tabla224[[#This Row],[Peso planta (Kg)]]*Tabla224[[#This Row],[No. Plantas /m2]]*10000*Tabla224[[#This Row],[% desechos organicos]]/1000</f>
        <v>1.4000000000000001</v>
      </c>
    </row>
    <row r="100" spans="1:9" s="36" customFormat="1" x14ac:dyDescent="0.2">
      <c r="A100" s="60" t="s">
        <v>475</v>
      </c>
      <c r="B100" s="191">
        <v>5850</v>
      </c>
      <c r="C100" s="185" t="s">
        <v>476</v>
      </c>
      <c r="D100" s="191">
        <f>12/C100</f>
        <v>4</v>
      </c>
      <c r="E100" s="191">
        <f t="shared" si="2"/>
        <v>23400</v>
      </c>
      <c r="F100" s="36">
        <v>0.1</v>
      </c>
      <c r="G100" s="36">
        <v>25</v>
      </c>
      <c r="H100" s="192">
        <v>0.2</v>
      </c>
      <c r="I100" s="36">
        <f>+Tabla224[[#This Row],[Peso planta (Kg)]]*Tabla224[[#This Row],[No. Plantas /m2]]*10000*Tabla224[[#This Row],[% desechos organicos]]/1000</f>
        <v>5</v>
      </c>
    </row>
    <row r="101" spans="1:9" s="36" customFormat="1" x14ac:dyDescent="0.2">
      <c r="A101" s="60" t="s">
        <v>477</v>
      </c>
      <c r="B101" s="191">
        <v>700</v>
      </c>
      <c r="C101" s="185" t="s">
        <v>478</v>
      </c>
      <c r="D101" s="191">
        <v>4</v>
      </c>
      <c r="E101" s="191">
        <f t="shared" si="2"/>
        <v>2800</v>
      </c>
      <c r="F101" s="36">
        <v>0.2</v>
      </c>
      <c r="G101" s="36">
        <v>20</v>
      </c>
      <c r="H101" s="192">
        <v>0.3</v>
      </c>
      <c r="I101" s="36">
        <f>+Tabla224[[#This Row],[Peso planta (Kg)]]*Tabla224[[#This Row],[No. Plantas /m2]]*10000*Tabla224[[#This Row],[% desechos organicos]]/1000</f>
        <v>12</v>
      </c>
    </row>
    <row r="102" spans="1:9" s="36" customFormat="1" x14ac:dyDescent="0.2">
      <c r="A102" s="60" t="s">
        <v>479</v>
      </c>
      <c r="B102" s="191">
        <v>6000</v>
      </c>
      <c r="C102" s="185" t="s">
        <v>480</v>
      </c>
      <c r="D102" s="191" t="s">
        <v>481</v>
      </c>
      <c r="E102" s="191">
        <f t="shared" si="2"/>
        <v>24000</v>
      </c>
      <c r="F102" s="36">
        <v>0.8</v>
      </c>
      <c r="G102" s="36">
        <v>3</v>
      </c>
      <c r="H102" s="192">
        <v>0.3</v>
      </c>
      <c r="I102" s="36">
        <f>+Tabla224[[#This Row],[Peso planta (Kg)]]*Tabla224[[#This Row],[No. Plantas /m2]]*10000*Tabla224[[#This Row],[% desechos organicos]]/1000</f>
        <v>7.2000000000000011</v>
      </c>
    </row>
    <row r="103" spans="1:9" s="36" customFormat="1" x14ac:dyDescent="0.2">
      <c r="A103" s="60" t="s">
        <v>483</v>
      </c>
      <c r="B103" s="193">
        <v>6000</v>
      </c>
      <c r="C103" s="185" t="s">
        <v>484</v>
      </c>
      <c r="D103" s="193">
        <f>12/C103</f>
        <v>2.4</v>
      </c>
      <c r="E103" s="193">
        <f t="shared" si="2"/>
        <v>14400</v>
      </c>
      <c r="F103" s="36">
        <v>0.8</v>
      </c>
      <c r="G103" s="36">
        <v>4</v>
      </c>
      <c r="H103" s="192">
        <v>0.3</v>
      </c>
      <c r="I103" s="36">
        <f>+Tabla224[[#This Row],[Peso planta (Kg)]]*Tabla224[[#This Row],[No. Plantas /m2]]*10000*Tabla224[[#This Row],[% desechos organicos]]/1000</f>
        <v>9.6</v>
      </c>
    </row>
    <row r="104" spans="1:9" s="36" customFormat="1" x14ac:dyDescent="0.2">
      <c r="A104" s="60" t="s">
        <v>485</v>
      </c>
      <c r="B104" s="191">
        <v>6000</v>
      </c>
      <c r="C104" s="185" t="s">
        <v>476</v>
      </c>
      <c r="D104" s="191">
        <v>3</v>
      </c>
      <c r="E104" s="191">
        <f t="shared" si="2"/>
        <v>18000</v>
      </c>
      <c r="F104" s="36">
        <v>0.8</v>
      </c>
      <c r="G104" s="36">
        <v>4</v>
      </c>
      <c r="H104" s="192">
        <v>0.3</v>
      </c>
      <c r="I104" s="36">
        <f>+Tabla224[[#This Row],[Peso planta (Kg)]]*Tabla224[[#This Row],[No. Plantas /m2]]*10000*Tabla224[[#This Row],[% desechos organicos]]/1000</f>
        <v>9.6</v>
      </c>
    </row>
    <row r="105" spans="1:9" s="36" customFormat="1" x14ac:dyDescent="0.2">
      <c r="A105" s="60" t="s">
        <v>486</v>
      </c>
      <c r="B105" s="191">
        <v>700</v>
      </c>
      <c r="C105" s="179">
        <v>2.5</v>
      </c>
      <c r="D105" s="191">
        <v>4</v>
      </c>
      <c r="E105" s="191">
        <f t="shared" si="2"/>
        <v>2800</v>
      </c>
      <c r="F105" s="36">
        <v>1.5</v>
      </c>
      <c r="G105" s="36">
        <v>3</v>
      </c>
      <c r="H105" s="36">
        <v>30</v>
      </c>
      <c r="I105" s="36">
        <f>+Tabla224[[#This Row],[Peso planta (Kg)]]*Tabla224[[#This Row],[No. Plantas /m2]]*10000*Tabla224[[#This Row],[% desechos organicos]]/1000</f>
        <v>1350</v>
      </c>
    </row>
    <row r="106" spans="1:9" s="36" customFormat="1" x14ac:dyDescent="0.2">
      <c r="A106" s="194"/>
      <c r="B106" s="34"/>
      <c r="C106" s="34"/>
      <c r="D106" s="34"/>
      <c r="E106" s="34"/>
    </row>
    <row r="107" spans="1:9" s="36" customFormat="1" x14ac:dyDescent="0.2"/>
    <row r="108" spans="1:9" s="36" customFormat="1" ht="24" customHeight="1" x14ac:dyDescent="0.2">
      <c r="A108" s="104" t="s">
        <v>501</v>
      </c>
      <c r="B108" s="104"/>
      <c r="C108" s="104"/>
      <c r="D108" s="104"/>
      <c r="E108" s="104"/>
    </row>
    <row r="109" spans="1:9" s="36" customFormat="1" x14ac:dyDescent="0.2">
      <c r="A109" s="187" t="s">
        <v>70</v>
      </c>
    </row>
    <row r="110" spans="1:9" s="36" customFormat="1" x14ac:dyDescent="0.2">
      <c r="A110" s="754" t="s">
        <v>474</v>
      </c>
      <c r="B110" s="755"/>
      <c r="C110" s="755"/>
      <c r="D110" s="755"/>
      <c r="E110" s="756"/>
      <c r="G110" s="198" t="s">
        <v>497</v>
      </c>
      <c r="H110" s="199" t="str">
        <f>A171</f>
        <v>Papas,Zuquini ,Frutillas,Lechugas o similares</v>
      </c>
    </row>
    <row r="111" spans="1:9" s="36" customFormat="1" x14ac:dyDescent="0.2">
      <c r="G111" s="198" t="s">
        <v>503</v>
      </c>
      <c r="H111" s="199" t="str">
        <f t="shared" ref="H111:H118" si="3">A172</f>
        <v>Caña de azúcar</v>
      </c>
    </row>
    <row r="112" spans="1:9" s="36" customFormat="1" x14ac:dyDescent="0.2">
      <c r="A112" s="188" t="s">
        <v>72</v>
      </c>
      <c r="G112" s="198"/>
      <c r="H112" s="199" t="str">
        <f t="shared" si="3"/>
        <v>Cacao</v>
      </c>
    </row>
    <row r="113" spans="1:8" s="36" customFormat="1" x14ac:dyDescent="0.2">
      <c r="A113" s="751" t="s">
        <v>500</v>
      </c>
      <c r="B113" s="752"/>
      <c r="C113" s="752"/>
      <c r="D113" s="752"/>
      <c r="E113" s="753"/>
      <c r="G113" s="198"/>
      <c r="H113" s="199" t="str">
        <f t="shared" si="3"/>
        <v>Café</v>
      </c>
    </row>
    <row r="114" spans="1:8" s="36" customFormat="1" x14ac:dyDescent="0.2">
      <c r="A114" s="35"/>
      <c r="B114" s="35"/>
      <c r="C114" s="35"/>
      <c r="D114" s="35"/>
      <c r="E114" s="35"/>
      <c r="G114" s="198"/>
      <c r="H114" s="199" t="str">
        <f t="shared" si="3"/>
        <v>Maíz</v>
      </c>
    </row>
    <row r="115" spans="1:8" s="36" customFormat="1" x14ac:dyDescent="0.2">
      <c r="A115" s="88"/>
      <c r="B115" s="88"/>
      <c r="G115" s="199"/>
      <c r="H115" s="199" t="str">
        <f t="shared" si="3"/>
        <v>Quinua</v>
      </c>
    </row>
    <row r="116" spans="1:8" s="36" customFormat="1" x14ac:dyDescent="0.2">
      <c r="A116" s="667" t="s">
        <v>74</v>
      </c>
      <c r="B116" s="667"/>
      <c r="C116" s="667"/>
      <c r="D116" s="667"/>
      <c r="G116" s="199"/>
      <c r="H116" s="199" t="str">
        <f t="shared" si="3"/>
        <v>Banano</v>
      </c>
    </row>
    <row r="117" spans="1:8" s="36" customFormat="1" ht="30" x14ac:dyDescent="0.2">
      <c r="A117" s="89" t="s">
        <v>822</v>
      </c>
      <c r="B117" s="668" t="s">
        <v>823</v>
      </c>
      <c r="C117" s="669"/>
      <c r="D117" s="670"/>
      <c r="G117" s="199"/>
      <c r="H117" s="199" t="str">
        <f t="shared" si="3"/>
        <v>Arroz</v>
      </c>
    </row>
    <row r="118" spans="1:8" s="36" customFormat="1" ht="30" x14ac:dyDescent="0.2">
      <c r="A118" s="89" t="s">
        <v>487</v>
      </c>
      <c r="B118" s="745">
        <v>0.5</v>
      </c>
      <c r="C118" s="746"/>
      <c r="D118" s="747"/>
      <c r="G118" s="199"/>
      <c r="H118" s="199" t="str">
        <f t="shared" si="3"/>
        <v>Tomate</v>
      </c>
    </row>
    <row r="119" spans="1:8" s="36" customFormat="1" x14ac:dyDescent="0.2">
      <c r="A119" s="88"/>
      <c r="B119" s="88"/>
    </row>
    <row r="120" spans="1:8" s="36" customFormat="1" x14ac:dyDescent="0.2">
      <c r="A120" s="748" t="s">
        <v>82</v>
      </c>
      <c r="B120" s="748"/>
      <c r="C120" s="748"/>
      <c r="D120" s="178" t="s">
        <v>140</v>
      </c>
    </row>
    <row r="121" spans="1:8" s="36" customFormat="1" ht="30.75" customHeight="1" x14ac:dyDescent="0.2">
      <c r="A121" s="749" t="s">
        <v>461</v>
      </c>
      <c r="B121" s="750"/>
      <c r="C121" s="201">
        <f>RECURSOS!O50</f>
        <v>1</v>
      </c>
      <c r="D121" s="76" t="str">
        <f>RECURSOS!P50</f>
        <v>Hectáreas</v>
      </c>
    </row>
    <row r="122" spans="1:8" s="36" customFormat="1" ht="30.75" customHeight="1" x14ac:dyDescent="0.2">
      <c r="A122" s="749" t="s">
        <v>462</v>
      </c>
      <c r="B122" s="750"/>
      <c r="C122" s="183" t="str">
        <f>RECURSOS!O51</f>
        <v>Papas,Zuquini ,Frutillas,Lechugas o similares</v>
      </c>
      <c r="D122" s="60"/>
      <c r="E122" s="90"/>
    </row>
    <row r="123" spans="1:8" s="36" customFormat="1" x14ac:dyDescent="0.2">
      <c r="A123" s="90"/>
      <c r="B123" s="90"/>
      <c r="C123" s="90"/>
      <c r="E123" s="90"/>
    </row>
    <row r="124" spans="1:8" s="36" customFormat="1" x14ac:dyDescent="0.2">
      <c r="A124" s="90"/>
      <c r="B124" s="90"/>
      <c r="C124" s="90"/>
      <c r="E124" s="90"/>
    </row>
    <row r="125" spans="1:8" s="36" customFormat="1" x14ac:dyDescent="0.2">
      <c r="A125" s="187" t="s">
        <v>84</v>
      </c>
      <c r="B125" s="88"/>
      <c r="E125" s="90"/>
    </row>
    <row r="126" spans="1:8" s="36" customFormat="1" x14ac:dyDescent="0.2">
      <c r="A126" s="71" t="s">
        <v>85</v>
      </c>
      <c r="B126" s="71"/>
      <c r="C126" s="72" t="s">
        <v>3</v>
      </c>
      <c r="D126" s="72" t="s">
        <v>140</v>
      </c>
      <c r="E126" s="90"/>
    </row>
    <row r="127" spans="1:8" s="36" customFormat="1" x14ac:dyDescent="0.2">
      <c r="A127" s="654" t="s">
        <v>488</v>
      </c>
      <c r="B127" s="654"/>
      <c r="C127" s="76">
        <f>(IF(D121="m2",VLOOKUP(C122,A170:B179,2,FALSE)*C121/10000,VLOOKUP(C122,A170:B179,2,FALSE)*C121))*B118</f>
        <v>1150</v>
      </c>
      <c r="D127" s="179" t="s">
        <v>149</v>
      </c>
      <c r="E127" s="90"/>
    </row>
    <row r="128" spans="1:8" x14ac:dyDescent="0.2"/>
    <row r="129" spans="1:8" x14ac:dyDescent="0.2"/>
    <row r="130" spans="1:8" s="36" customFormat="1" ht="27" customHeight="1" x14ac:dyDescent="0.2">
      <c r="A130" s="104" t="s">
        <v>525</v>
      </c>
      <c r="B130" s="104"/>
      <c r="C130" s="104"/>
      <c r="D130" s="104"/>
      <c r="E130" s="104"/>
    </row>
    <row r="131" spans="1:8" s="36" customFormat="1" x14ac:dyDescent="0.2">
      <c r="A131" s="187" t="s">
        <v>70</v>
      </c>
    </row>
    <row r="132" spans="1:8" s="36" customFormat="1" x14ac:dyDescent="0.2">
      <c r="A132" s="754" t="s">
        <v>474</v>
      </c>
      <c r="B132" s="755"/>
      <c r="C132" s="755"/>
      <c r="D132" s="755"/>
      <c r="E132" s="756"/>
      <c r="G132" s="198" t="s">
        <v>497</v>
      </c>
      <c r="H132" s="199" t="str">
        <f>A171</f>
        <v>Papas,Zuquini ,Frutillas,Lechugas o similares</v>
      </c>
    </row>
    <row r="133" spans="1:8" s="36" customFormat="1" x14ac:dyDescent="0.2">
      <c r="G133" s="198" t="s">
        <v>498</v>
      </c>
      <c r="H133" s="199" t="str">
        <f t="shared" ref="H133:H140" si="4">A172</f>
        <v>Caña de azúcar</v>
      </c>
    </row>
    <row r="134" spans="1:8" s="36" customFormat="1" x14ac:dyDescent="0.2">
      <c r="A134" s="188" t="s">
        <v>72</v>
      </c>
      <c r="G134" s="198"/>
      <c r="H134" s="199" t="str">
        <f t="shared" si="4"/>
        <v>Cacao</v>
      </c>
    </row>
    <row r="135" spans="1:8" s="36" customFormat="1" x14ac:dyDescent="0.2">
      <c r="A135" s="751" t="s">
        <v>482</v>
      </c>
      <c r="B135" s="752"/>
      <c r="C135" s="752"/>
      <c r="D135" s="752"/>
      <c r="E135" s="753"/>
      <c r="G135" s="198"/>
      <c r="H135" s="199" t="str">
        <f t="shared" si="4"/>
        <v>Café</v>
      </c>
    </row>
    <row r="136" spans="1:8" s="36" customFormat="1" x14ac:dyDescent="0.2">
      <c r="A136" s="35"/>
      <c r="B136" s="35"/>
      <c r="C136" s="35"/>
      <c r="D136" s="35"/>
      <c r="E136" s="35"/>
      <c r="G136" s="198"/>
      <c r="H136" s="199" t="str">
        <f t="shared" si="4"/>
        <v>Maíz</v>
      </c>
    </row>
    <row r="137" spans="1:8" s="36" customFormat="1" x14ac:dyDescent="0.2">
      <c r="A137" s="88"/>
      <c r="B137" s="88"/>
      <c r="G137" s="199"/>
      <c r="H137" s="199" t="str">
        <f t="shared" si="4"/>
        <v>Quinua</v>
      </c>
    </row>
    <row r="138" spans="1:8" s="36" customFormat="1" x14ac:dyDescent="0.2">
      <c r="A138" s="667" t="s">
        <v>74</v>
      </c>
      <c r="B138" s="667"/>
      <c r="C138" s="667"/>
      <c r="D138" s="667"/>
      <c r="G138" s="199"/>
      <c r="H138" s="199" t="str">
        <f t="shared" si="4"/>
        <v>Banano</v>
      </c>
    </row>
    <row r="139" spans="1:8" s="36" customFormat="1" ht="30" x14ac:dyDescent="0.2">
      <c r="A139" s="89" t="s">
        <v>822</v>
      </c>
      <c r="B139" s="668" t="s">
        <v>823</v>
      </c>
      <c r="C139" s="669"/>
      <c r="D139" s="670"/>
      <c r="G139" s="199"/>
      <c r="H139" s="199" t="str">
        <f t="shared" si="4"/>
        <v>Arroz</v>
      </c>
    </row>
    <row r="140" spans="1:8" s="36" customFormat="1" ht="30" x14ac:dyDescent="0.2">
      <c r="A140" s="89" t="s">
        <v>487</v>
      </c>
      <c r="B140" s="745">
        <v>0.4</v>
      </c>
      <c r="C140" s="746"/>
      <c r="D140" s="747"/>
      <c r="G140" s="199"/>
      <c r="H140" s="199" t="str">
        <f t="shared" si="4"/>
        <v>Tomate</v>
      </c>
    </row>
    <row r="141" spans="1:8" s="36" customFormat="1" x14ac:dyDescent="0.2">
      <c r="A141" s="88"/>
      <c r="B141" s="88"/>
    </row>
    <row r="142" spans="1:8" s="36" customFormat="1" x14ac:dyDescent="0.2">
      <c r="A142" s="748" t="s">
        <v>82</v>
      </c>
      <c r="B142" s="748"/>
      <c r="C142" s="748"/>
      <c r="D142" s="178" t="s">
        <v>140</v>
      </c>
    </row>
    <row r="143" spans="1:8" s="36" customFormat="1" ht="31.5" customHeight="1" x14ac:dyDescent="0.2">
      <c r="A143" s="749" t="s">
        <v>461</v>
      </c>
      <c r="B143" s="750"/>
      <c r="C143" s="201">
        <f>RECURSOS!O36</f>
        <v>1</v>
      </c>
      <c r="D143" s="179" t="str">
        <f>RECURSOS!P36</f>
        <v>Hectáreas</v>
      </c>
    </row>
    <row r="144" spans="1:8" s="36" customFormat="1" ht="31.5" customHeight="1" x14ac:dyDescent="0.2">
      <c r="A144" s="749" t="s">
        <v>462</v>
      </c>
      <c r="B144" s="750"/>
      <c r="C144" s="201" t="str">
        <f>RECURSOS!O37</f>
        <v>Banano</v>
      </c>
      <c r="D144" s="60"/>
      <c r="E144" s="90"/>
    </row>
    <row r="145" spans="1:13" s="36" customFormat="1" x14ac:dyDescent="0.2">
      <c r="A145" s="90"/>
      <c r="B145" s="90"/>
      <c r="C145" s="90"/>
      <c r="E145" s="90"/>
    </row>
    <row r="146" spans="1:13" s="36" customFormat="1" x14ac:dyDescent="0.2">
      <c r="A146" s="90"/>
      <c r="B146" s="90"/>
      <c r="C146" s="90"/>
      <c r="E146" s="90"/>
    </row>
    <row r="147" spans="1:13" s="36" customFormat="1" x14ac:dyDescent="0.2">
      <c r="A147" s="187" t="s">
        <v>84</v>
      </c>
      <c r="B147" s="88"/>
      <c r="E147" s="90"/>
    </row>
    <row r="148" spans="1:13" s="36" customFormat="1" x14ac:dyDescent="0.2">
      <c r="A148" s="71" t="s">
        <v>85</v>
      </c>
      <c r="B148" s="71"/>
      <c r="C148" s="72" t="s">
        <v>3</v>
      </c>
      <c r="D148" s="72" t="s">
        <v>140</v>
      </c>
      <c r="E148" s="90"/>
    </row>
    <row r="149" spans="1:13" s="36" customFormat="1" ht="41.25" customHeight="1" x14ac:dyDescent="0.2">
      <c r="A149" s="654" t="s">
        <v>488</v>
      </c>
      <c r="B149" s="654"/>
      <c r="C149" s="189">
        <f>(IF(D143="m2",VLOOKUP(C144,A170:B179,2,FALSE)*C143/10000,VLOOKUP(C144,A170:B179,2,FALSE)*C143))</f>
        <v>9430</v>
      </c>
      <c r="D149" s="179" t="s">
        <v>149</v>
      </c>
      <c r="E149" s="90"/>
    </row>
    <row r="150" spans="1:13" s="36" customFormat="1" x14ac:dyDescent="0.2">
      <c r="A150" s="90"/>
      <c r="B150" s="90"/>
      <c r="C150" s="90"/>
      <c r="E150" s="90"/>
    </row>
    <row r="151" spans="1:13" s="36" customFormat="1" x14ac:dyDescent="0.2">
      <c r="A151" s="90"/>
      <c r="B151" s="90"/>
      <c r="C151" s="90"/>
    </row>
    <row r="152" spans="1:13" s="36" customFormat="1" x14ac:dyDescent="0.2">
      <c r="A152" s="88"/>
      <c r="B152" s="88"/>
    </row>
    <row r="153" spans="1:13" s="36" customFormat="1" x14ac:dyDescent="0.2">
      <c r="A153" s="88"/>
      <c r="B153" s="88"/>
    </row>
    <row r="154" spans="1:13" s="36" customFormat="1" x14ac:dyDescent="0.2">
      <c r="A154" s="655" t="s">
        <v>87</v>
      </c>
      <c r="B154" s="656"/>
      <c r="C154" s="656"/>
      <c r="D154" s="656"/>
      <c r="E154" s="656"/>
    </row>
    <row r="155" spans="1:13" s="36" customFormat="1" ht="60" x14ac:dyDescent="0.25">
      <c r="A155" s="92" t="s">
        <v>463</v>
      </c>
      <c r="B155" s="93" t="s">
        <v>829</v>
      </c>
      <c r="C155" s="93" t="s">
        <v>490</v>
      </c>
      <c r="D155" s="94" t="s">
        <v>491</v>
      </c>
      <c r="E155" s="190" t="s">
        <v>504</v>
      </c>
      <c r="G155" s="60" t="s">
        <v>463</v>
      </c>
      <c r="H155" s="60" t="s">
        <v>464</v>
      </c>
      <c r="I155" s="60" t="s">
        <v>465</v>
      </c>
      <c r="J155" s="60" t="s">
        <v>466</v>
      </c>
      <c r="K155" s="60" t="s">
        <v>467</v>
      </c>
      <c r="L155" s="60" t="s">
        <v>505</v>
      </c>
      <c r="M155" s="60" t="s">
        <v>506</v>
      </c>
    </row>
    <row r="156" spans="1:13" s="36" customFormat="1" x14ac:dyDescent="0.2">
      <c r="A156" s="202" t="s">
        <v>507</v>
      </c>
      <c r="B156" s="191">
        <v>700</v>
      </c>
      <c r="C156" s="191">
        <v>6</v>
      </c>
      <c r="D156" s="191">
        <v>2</v>
      </c>
      <c r="E156" s="191">
        <f>EVEN(+Tabla225[[#This Row],[Promedio consumo por ciclo /ha  (m3)]]*12/Tabla225[[#This Row],[Promedio ciclo de cultivo (meses)]])</f>
        <v>1400</v>
      </c>
      <c r="G156" s="60" t="s">
        <v>508</v>
      </c>
      <c r="H156" s="60">
        <v>10000</v>
      </c>
      <c r="I156" s="60">
        <v>12000</v>
      </c>
      <c r="J156" s="185" t="s">
        <v>509</v>
      </c>
      <c r="K156" s="179">
        <v>1</v>
      </c>
      <c r="L156" s="60">
        <f t="shared" ref="L156:L168" si="5">+AVERAGE(H156:I156)</f>
        <v>11000</v>
      </c>
      <c r="M156" s="60">
        <v>14</v>
      </c>
    </row>
    <row r="157" spans="1:13" s="36" customFormat="1" x14ac:dyDescent="0.2">
      <c r="A157" s="202" t="s">
        <v>486</v>
      </c>
      <c r="B157" s="191">
        <v>700</v>
      </c>
      <c r="C157" s="191">
        <v>4</v>
      </c>
      <c r="D157" s="191">
        <v>3</v>
      </c>
      <c r="E157" s="191">
        <f>EVEN(+Tabla225[[#This Row],[Promedio consumo por ciclo /ha  (m3)]]*12/Tabla225[[#This Row],[Promedio ciclo de cultivo (meses)]])</f>
        <v>2100</v>
      </c>
      <c r="G157" s="60" t="s">
        <v>510</v>
      </c>
      <c r="H157" s="60">
        <v>8000</v>
      </c>
      <c r="I157" s="60">
        <v>10000</v>
      </c>
      <c r="J157" s="185" t="s">
        <v>511</v>
      </c>
      <c r="K157" s="179">
        <f>12/6</f>
        <v>2</v>
      </c>
      <c r="L157" s="60">
        <f t="shared" si="5"/>
        <v>9000</v>
      </c>
      <c r="M157" s="60">
        <v>6</v>
      </c>
    </row>
    <row r="158" spans="1:13" s="36" customFormat="1" x14ac:dyDescent="0.2">
      <c r="A158" s="202" t="s">
        <v>512</v>
      </c>
      <c r="B158" s="191">
        <v>1000</v>
      </c>
      <c r="C158" s="191">
        <v>5</v>
      </c>
      <c r="D158" s="191">
        <v>3</v>
      </c>
      <c r="E158" s="191">
        <f>EVEN(+Tabla225[[#This Row],[Promedio consumo por ciclo /ha  (m3)]]*12/Tabla225[[#This Row],[Promedio ciclo de cultivo (meses)]])</f>
        <v>2400</v>
      </c>
      <c r="G158" s="60" t="s">
        <v>485</v>
      </c>
      <c r="H158" s="60">
        <v>5000</v>
      </c>
      <c r="I158" s="60">
        <v>7000</v>
      </c>
      <c r="J158" s="185" t="s">
        <v>476</v>
      </c>
      <c r="K158" s="179">
        <v>3</v>
      </c>
      <c r="L158" s="60">
        <f t="shared" si="5"/>
        <v>6000</v>
      </c>
      <c r="M158" s="60">
        <v>12</v>
      </c>
    </row>
    <row r="159" spans="1:13" s="36" customFormat="1" x14ac:dyDescent="0.2">
      <c r="A159" s="202" t="s">
        <v>513</v>
      </c>
      <c r="B159" s="191">
        <v>700</v>
      </c>
      <c r="C159" s="191">
        <v>3</v>
      </c>
      <c r="D159" s="191">
        <v>3</v>
      </c>
      <c r="E159" s="191">
        <f>EVEN(+Tabla225[[#This Row],[Promedio consumo por ciclo /ha  (m3)]]*12/Tabla225[[#This Row],[Promedio ciclo de cultivo (meses)]])</f>
        <v>2800</v>
      </c>
      <c r="G159" s="60" t="s">
        <v>514</v>
      </c>
      <c r="H159" s="60">
        <v>5000</v>
      </c>
      <c r="I159" s="60">
        <v>6000</v>
      </c>
      <c r="J159" s="185" t="s">
        <v>471</v>
      </c>
      <c r="K159" s="179">
        <v>1</v>
      </c>
      <c r="L159" s="60">
        <f t="shared" si="5"/>
        <v>5500</v>
      </c>
      <c r="M159" s="60">
        <v>12</v>
      </c>
    </row>
    <row r="160" spans="1:13" s="36" customFormat="1" x14ac:dyDescent="0.2">
      <c r="A160" s="202" t="s">
        <v>515</v>
      </c>
      <c r="B160" s="191">
        <v>4500</v>
      </c>
      <c r="C160" s="191">
        <v>18</v>
      </c>
      <c r="D160" s="191">
        <v>1</v>
      </c>
      <c r="E160" s="191">
        <f>EVEN(+Tabla225[[#This Row],[Promedio consumo por ciclo /ha  (m3)]]*12/Tabla225[[#This Row],[Promedio ciclo de cultivo (meses)]])</f>
        <v>3000</v>
      </c>
      <c r="G160" s="60" t="s">
        <v>516</v>
      </c>
      <c r="H160" s="60">
        <v>4000</v>
      </c>
      <c r="I160" s="60">
        <v>5000</v>
      </c>
      <c r="J160" s="185" t="s">
        <v>517</v>
      </c>
      <c r="K160" s="179">
        <v>1</v>
      </c>
      <c r="L160" s="60">
        <f t="shared" si="5"/>
        <v>4500</v>
      </c>
      <c r="M160" s="60">
        <v>18</v>
      </c>
    </row>
    <row r="161" spans="1:13" s="36" customFormat="1" x14ac:dyDescent="0.2">
      <c r="A161" s="203" t="s">
        <v>518</v>
      </c>
      <c r="B161" s="193">
        <v>1000</v>
      </c>
      <c r="C161" s="193">
        <v>4</v>
      </c>
      <c r="D161" s="193">
        <v>3</v>
      </c>
      <c r="E161" s="193">
        <f>EVEN(+Tabla225[[#This Row],[Promedio consumo por ciclo /ha  (m3)]]*12/Tabla225[[#This Row],[Promedio ciclo de cultivo (meses)]])</f>
        <v>3000</v>
      </c>
      <c r="G161" s="60" t="s">
        <v>519</v>
      </c>
      <c r="H161" s="60">
        <v>3000</v>
      </c>
      <c r="I161" s="60">
        <v>4000</v>
      </c>
      <c r="J161" s="185" t="s">
        <v>471</v>
      </c>
      <c r="K161" s="179">
        <v>1</v>
      </c>
      <c r="L161" s="60">
        <f t="shared" si="5"/>
        <v>3500</v>
      </c>
      <c r="M161" s="60">
        <v>12</v>
      </c>
    </row>
    <row r="162" spans="1:13" s="36" customFormat="1" x14ac:dyDescent="0.2">
      <c r="A162" s="202" t="s">
        <v>519</v>
      </c>
      <c r="B162" s="191">
        <v>3500</v>
      </c>
      <c r="C162" s="191">
        <v>12</v>
      </c>
      <c r="D162" s="191">
        <v>1</v>
      </c>
      <c r="E162" s="191">
        <f>EVEN(+Tabla225[[#This Row],[Promedio consumo por ciclo /ha  (m3)]]*12/Tabla225[[#This Row],[Promedio ciclo de cultivo (meses)]])</f>
        <v>3500</v>
      </c>
      <c r="G162" s="60" t="s">
        <v>520</v>
      </c>
      <c r="H162" s="60">
        <v>3000</v>
      </c>
      <c r="I162" s="60">
        <v>4000</v>
      </c>
      <c r="J162" s="60">
        <v>6</v>
      </c>
      <c r="K162" s="179">
        <v>2</v>
      </c>
      <c r="L162" s="60">
        <f t="shared" si="5"/>
        <v>3500</v>
      </c>
      <c r="M162" s="60">
        <v>6</v>
      </c>
    </row>
    <row r="163" spans="1:13" s="36" customFormat="1" x14ac:dyDescent="0.2">
      <c r="A163" s="202" t="s">
        <v>514</v>
      </c>
      <c r="B163" s="191">
        <v>5500</v>
      </c>
      <c r="C163" s="191">
        <v>12</v>
      </c>
      <c r="D163" s="191">
        <v>1</v>
      </c>
      <c r="E163" s="191">
        <f>EVEN(+Tabla225[[#This Row],[Promedio consumo por ciclo /ha  (m3)]]*12/Tabla225[[#This Row],[Promedio ciclo de cultivo (meses)]])</f>
        <v>5500</v>
      </c>
      <c r="G163" s="60" t="s">
        <v>521</v>
      </c>
      <c r="H163" s="60">
        <v>2500</v>
      </c>
      <c r="I163" s="60">
        <v>3000</v>
      </c>
      <c r="J163" s="185" t="s">
        <v>522</v>
      </c>
      <c r="K163" s="179">
        <v>1</v>
      </c>
      <c r="L163" s="60">
        <f t="shared" si="5"/>
        <v>2750</v>
      </c>
      <c r="M163" s="60">
        <v>6</v>
      </c>
    </row>
    <row r="164" spans="1:13" s="36" customFormat="1" x14ac:dyDescent="0.2">
      <c r="A164" s="202" t="s">
        <v>521</v>
      </c>
      <c r="B164" s="191">
        <v>2750</v>
      </c>
      <c r="C164" s="191">
        <v>6</v>
      </c>
      <c r="D164" s="191">
        <v>1</v>
      </c>
      <c r="E164" s="191">
        <f>EVEN(+Tabla225[[#This Row],[Promedio consumo por ciclo /ha  (m3)]]*12/Tabla225[[#This Row],[Promedio ciclo de cultivo (meses)]])</f>
        <v>5500</v>
      </c>
      <c r="G164" s="60" t="s">
        <v>512</v>
      </c>
      <c r="H164" s="60">
        <v>800</v>
      </c>
      <c r="I164" s="60">
        <v>1200</v>
      </c>
      <c r="J164" s="185" t="s">
        <v>473</v>
      </c>
      <c r="K164" s="179">
        <v>3</v>
      </c>
      <c r="L164" s="60">
        <f t="shared" si="5"/>
        <v>1000</v>
      </c>
      <c r="M164" s="60">
        <v>5</v>
      </c>
    </row>
    <row r="165" spans="1:13" s="36" customFormat="1" x14ac:dyDescent="0.2">
      <c r="A165" s="202" t="s">
        <v>520</v>
      </c>
      <c r="B165" s="191">
        <v>3500</v>
      </c>
      <c r="C165" s="191">
        <v>6</v>
      </c>
      <c r="D165" s="191">
        <v>2</v>
      </c>
      <c r="E165" s="191">
        <f>EVEN(+Tabla225[[#This Row],[Promedio consumo por ciclo /ha  (m3)]]*12/Tabla225[[#This Row],[Promedio ciclo de cultivo (meses)]])</f>
        <v>7000</v>
      </c>
      <c r="G165" s="60" t="s">
        <v>518</v>
      </c>
      <c r="H165" s="60">
        <v>800</v>
      </c>
      <c r="I165" s="60">
        <v>1200</v>
      </c>
      <c r="J165" s="185" t="s">
        <v>523</v>
      </c>
      <c r="K165" s="179">
        <v>3</v>
      </c>
      <c r="L165" s="60">
        <f t="shared" si="5"/>
        <v>1000</v>
      </c>
      <c r="M165" s="60">
        <v>4</v>
      </c>
    </row>
    <row r="166" spans="1:13" s="36" customFormat="1" x14ac:dyDescent="0.2">
      <c r="A166" s="202" t="s">
        <v>508</v>
      </c>
      <c r="B166" s="191">
        <v>11000</v>
      </c>
      <c r="C166" s="191">
        <v>14</v>
      </c>
      <c r="D166" s="191">
        <v>1</v>
      </c>
      <c r="E166" s="191">
        <f>EVEN(+Tabla225[[#This Row],[Promedio consumo por ciclo /ha  (m3)]]*12/Tabla225[[#This Row],[Promedio ciclo de cultivo (meses)]])</f>
        <v>9430</v>
      </c>
      <c r="G166" s="60" t="s">
        <v>507</v>
      </c>
      <c r="H166" s="60">
        <v>600</v>
      </c>
      <c r="I166" s="60">
        <v>800</v>
      </c>
      <c r="J166" s="185" t="s">
        <v>522</v>
      </c>
      <c r="K166" s="179">
        <v>2</v>
      </c>
      <c r="L166" s="60">
        <f t="shared" si="5"/>
        <v>700</v>
      </c>
      <c r="M166" s="60">
        <v>6</v>
      </c>
    </row>
    <row r="167" spans="1:13" s="36" customFormat="1" x14ac:dyDescent="0.2">
      <c r="A167" s="202" t="s">
        <v>510</v>
      </c>
      <c r="B167" s="191">
        <v>9000</v>
      </c>
      <c r="C167" s="191">
        <v>6</v>
      </c>
      <c r="D167" s="191">
        <v>1.5</v>
      </c>
      <c r="E167" s="191">
        <f>EVEN(+Tabla225[[#This Row],[Promedio consumo por ciclo /ha  (m3)]]*12/Tabla225[[#This Row],[Promedio ciclo de cultivo (meses)]])</f>
        <v>18000</v>
      </c>
      <c r="G167" s="60" t="s">
        <v>513</v>
      </c>
      <c r="H167" s="60">
        <v>600</v>
      </c>
      <c r="I167" s="60">
        <v>800</v>
      </c>
      <c r="J167" s="185" t="s">
        <v>478</v>
      </c>
      <c r="K167" s="179">
        <v>3</v>
      </c>
      <c r="L167" s="60">
        <f t="shared" si="5"/>
        <v>700</v>
      </c>
      <c r="M167" s="60">
        <v>3</v>
      </c>
    </row>
    <row r="168" spans="1:13" s="36" customFormat="1" x14ac:dyDescent="0.2">
      <c r="A168" s="202" t="s">
        <v>485</v>
      </c>
      <c r="B168" s="191">
        <v>6000</v>
      </c>
      <c r="C168" s="191">
        <v>3</v>
      </c>
      <c r="D168" s="191">
        <v>3</v>
      </c>
      <c r="E168" s="191">
        <f>EVEN(+Tabla225[[#This Row],[Promedio consumo por ciclo /ha  (m3)]]*12/Tabla225[[#This Row],[Promedio ciclo de cultivo (meses)]])</f>
        <v>24000</v>
      </c>
      <c r="G168" s="60" t="s">
        <v>486</v>
      </c>
      <c r="H168" s="60">
        <v>600</v>
      </c>
      <c r="I168" s="60">
        <v>800</v>
      </c>
      <c r="J168" s="60"/>
      <c r="K168" s="179">
        <v>3</v>
      </c>
      <c r="L168" s="60">
        <f t="shared" si="5"/>
        <v>700</v>
      </c>
      <c r="M168" s="60">
        <v>4</v>
      </c>
    </row>
    <row r="169" spans="1:13" s="36" customFormat="1" x14ac:dyDescent="0.2">
      <c r="A169" s="194"/>
      <c r="B169" s="34"/>
      <c r="C169" s="34"/>
      <c r="D169" s="34"/>
      <c r="E169" s="34"/>
    </row>
    <row r="170" spans="1:13" s="36" customFormat="1" ht="57" x14ac:dyDescent="0.2">
      <c r="A170" s="204" t="s">
        <v>524</v>
      </c>
      <c r="B170" s="204" t="s">
        <v>827</v>
      </c>
    </row>
    <row r="171" spans="1:13" s="36" customFormat="1" ht="57.75" customHeight="1" x14ac:dyDescent="0.2">
      <c r="A171" s="205" t="str">
        <f>+CONCATENATE(A156,",",A157,",",A158,",",A159," o similares")</f>
        <v>Papas,Zuquini ,Frutillas,Lechugas o similares</v>
      </c>
      <c r="B171" s="206">
        <f>+AVERAGE(E156:E159)+125</f>
        <v>2300</v>
      </c>
    </row>
    <row r="172" spans="1:13" s="36" customFormat="1" x14ac:dyDescent="0.2">
      <c r="A172" s="206" t="str">
        <f>+A160</f>
        <v>Caña de azúcar</v>
      </c>
      <c r="B172" s="206">
        <f>+E160</f>
        <v>3000</v>
      </c>
    </row>
    <row r="173" spans="1:13" s="36" customFormat="1" x14ac:dyDescent="0.2">
      <c r="A173" s="206" t="str">
        <f>+A162</f>
        <v>Cacao</v>
      </c>
      <c r="B173" s="207">
        <f t="shared" ref="B173:B179" si="6">+E162</f>
        <v>3500</v>
      </c>
    </row>
    <row r="174" spans="1:13" s="36" customFormat="1" x14ac:dyDescent="0.2">
      <c r="A174" s="206" t="str">
        <f>+A163</f>
        <v>Café</v>
      </c>
      <c r="B174" s="207">
        <f t="shared" si="6"/>
        <v>5500</v>
      </c>
    </row>
    <row r="175" spans="1:13" s="36" customFormat="1" x14ac:dyDescent="0.2">
      <c r="A175" s="206" t="str">
        <f>+A164</f>
        <v>Maíz</v>
      </c>
      <c r="B175" s="206">
        <f t="shared" si="6"/>
        <v>5500</v>
      </c>
    </row>
    <row r="176" spans="1:13" s="36" customFormat="1" x14ac:dyDescent="0.2">
      <c r="A176" s="206" t="str">
        <f t="shared" ref="A176:A179" si="7">+A165</f>
        <v>Quinua</v>
      </c>
      <c r="B176" s="206">
        <f t="shared" si="6"/>
        <v>7000</v>
      </c>
    </row>
    <row r="177" spans="1:5" s="36" customFormat="1" x14ac:dyDescent="0.2">
      <c r="A177" s="206" t="str">
        <f t="shared" si="7"/>
        <v>Banano</v>
      </c>
      <c r="B177" s="206">
        <f t="shared" si="6"/>
        <v>9430</v>
      </c>
    </row>
    <row r="178" spans="1:5" s="36" customFormat="1" x14ac:dyDescent="0.2">
      <c r="A178" s="206" t="str">
        <f>+A167</f>
        <v>Arroz</v>
      </c>
      <c r="B178" s="206">
        <f t="shared" si="6"/>
        <v>18000</v>
      </c>
    </row>
    <row r="179" spans="1:5" s="36" customFormat="1" x14ac:dyDescent="0.2">
      <c r="A179" s="206" t="str">
        <f t="shared" si="7"/>
        <v>Tomate</v>
      </c>
      <c r="B179" s="206">
        <f t="shared" si="6"/>
        <v>24000</v>
      </c>
    </row>
    <row r="180" spans="1:5" x14ac:dyDescent="0.2"/>
    <row r="181" spans="1:5" s="36" customFormat="1" ht="15" x14ac:dyDescent="0.2">
      <c r="A181" s="104" t="s">
        <v>631</v>
      </c>
      <c r="B181" s="104"/>
      <c r="C181" s="104"/>
      <c r="D181" s="104"/>
      <c r="E181" s="104"/>
    </row>
    <row r="182" spans="1:5" s="36" customFormat="1" x14ac:dyDescent="0.2">
      <c r="A182" s="187" t="s">
        <v>70</v>
      </c>
    </row>
    <row r="183" spans="1:5" s="36" customFormat="1" ht="14.25" customHeight="1" x14ac:dyDescent="0.2">
      <c r="A183" s="80" t="s">
        <v>633</v>
      </c>
      <c r="B183" s="230"/>
      <c r="C183" s="230"/>
      <c r="D183" s="230"/>
      <c r="E183" s="85"/>
    </row>
    <row r="184" spans="1:5" s="36" customFormat="1" x14ac:dyDescent="0.2"/>
    <row r="185" spans="1:5" s="36" customFormat="1" x14ac:dyDescent="0.2">
      <c r="A185" s="188" t="s">
        <v>72</v>
      </c>
    </row>
    <row r="186" spans="1:5" s="36" customFormat="1" x14ac:dyDescent="0.2">
      <c r="A186" s="751" t="s">
        <v>634</v>
      </c>
      <c r="B186" s="752"/>
      <c r="C186" s="752"/>
      <c r="D186" s="752"/>
      <c r="E186" s="753"/>
    </row>
    <row r="187" spans="1:5" s="36" customFormat="1" x14ac:dyDescent="0.2">
      <c r="A187" s="35"/>
      <c r="B187" s="35"/>
      <c r="C187" s="35"/>
      <c r="D187" s="35"/>
      <c r="E187" s="35"/>
    </row>
    <row r="188" spans="1:5" s="36" customFormat="1" x14ac:dyDescent="0.2">
      <c r="A188" s="88"/>
      <c r="B188" s="88"/>
    </row>
    <row r="189" spans="1:5" s="36" customFormat="1" x14ac:dyDescent="0.2">
      <c r="A189" s="667" t="s">
        <v>74</v>
      </c>
      <c r="B189" s="667"/>
      <c r="C189" s="667"/>
      <c r="D189" s="667"/>
    </row>
    <row r="190" spans="1:5" s="36" customFormat="1" ht="30" x14ac:dyDescent="0.2">
      <c r="A190" s="89" t="s">
        <v>635</v>
      </c>
      <c r="B190" s="668" t="s">
        <v>830</v>
      </c>
      <c r="C190" s="669"/>
      <c r="D190" s="670"/>
    </row>
    <row r="191" spans="1:5" s="36" customFormat="1" ht="30" x14ac:dyDescent="0.2">
      <c r="A191" s="89" t="s">
        <v>636</v>
      </c>
      <c r="B191" s="745">
        <v>0.3</v>
      </c>
      <c r="C191" s="746"/>
      <c r="D191" s="747"/>
    </row>
    <row r="192" spans="1:5" s="36" customFormat="1" x14ac:dyDescent="0.2">
      <c r="A192" s="88"/>
      <c r="B192" s="88"/>
    </row>
    <row r="193" spans="1:9" s="36" customFormat="1" x14ac:dyDescent="0.2">
      <c r="A193" s="748" t="s">
        <v>82</v>
      </c>
      <c r="B193" s="748"/>
      <c r="C193" s="748"/>
      <c r="D193" s="178" t="s">
        <v>140</v>
      </c>
    </row>
    <row r="194" spans="1:9" s="36" customFormat="1" ht="39.75" customHeight="1" x14ac:dyDescent="0.2">
      <c r="A194" s="749" t="s">
        <v>632</v>
      </c>
      <c r="B194" s="750"/>
      <c r="C194" s="201">
        <f>RECURSOS!O79</f>
        <v>100</v>
      </c>
      <c r="D194" s="76" t="str">
        <f>RECURSOS!P79</f>
        <v>Ha</v>
      </c>
      <c r="F194" s="231" t="s">
        <v>497</v>
      </c>
    </row>
    <row r="195" spans="1:9" s="36" customFormat="1" ht="33" customHeight="1" x14ac:dyDescent="0.2">
      <c r="A195" s="749" t="s">
        <v>462</v>
      </c>
      <c r="B195" s="750"/>
      <c r="C195" s="201">
        <f>RECURSOS!O80</f>
        <v>0.12</v>
      </c>
      <c r="D195" s="60"/>
      <c r="E195" s="90"/>
      <c r="F195" s="231" t="s">
        <v>279</v>
      </c>
    </row>
    <row r="196" spans="1:9" s="36" customFormat="1" x14ac:dyDescent="0.2">
      <c r="A196" s="90"/>
      <c r="B196" s="90"/>
      <c r="C196" s="90"/>
      <c r="E196" s="90"/>
    </row>
    <row r="197" spans="1:9" s="36" customFormat="1" x14ac:dyDescent="0.2">
      <c r="A197" s="90"/>
      <c r="B197" s="90"/>
      <c r="C197" s="90"/>
      <c r="E197" s="90"/>
    </row>
    <row r="198" spans="1:9" s="36" customFormat="1" x14ac:dyDescent="0.2">
      <c r="A198" s="187" t="s">
        <v>84</v>
      </c>
      <c r="B198" s="88"/>
      <c r="E198" s="90"/>
    </row>
    <row r="199" spans="1:9" s="36" customFormat="1" x14ac:dyDescent="0.2">
      <c r="A199" s="71" t="s">
        <v>85</v>
      </c>
      <c r="B199" s="71"/>
      <c r="C199" s="72" t="s">
        <v>3</v>
      </c>
      <c r="D199" s="72" t="s">
        <v>140</v>
      </c>
      <c r="E199" s="90"/>
    </row>
    <row r="200" spans="1:9" s="36" customFormat="1" ht="39" customHeight="1" x14ac:dyDescent="0.25">
      <c r="A200" s="743" t="s">
        <v>637</v>
      </c>
      <c r="B200" s="744"/>
      <c r="C200" s="229">
        <f>+IF(D194="m2",C194/10000,C194)</f>
        <v>100</v>
      </c>
      <c r="D200" s="86" t="s">
        <v>279</v>
      </c>
      <c r="E200" s="90"/>
    </row>
    <row r="201" spans="1:9" s="36" customFormat="1" ht="42" customHeight="1" x14ac:dyDescent="0.2">
      <c r="A201" s="743" t="s">
        <v>639</v>
      </c>
      <c r="B201" s="744"/>
      <c r="C201" s="229">
        <f>+C195*C200</f>
        <v>12</v>
      </c>
      <c r="D201" s="76" t="s">
        <v>279</v>
      </c>
      <c r="E201" s="90"/>
    </row>
    <row r="202" spans="1:9" x14ac:dyDescent="0.2"/>
    <row r="203" spans="1:9" s="36" customFormat="1" ht="15" x14ac:dyDescent="0.2">
      <c r="A203" s="104" t="s">
        <v>705</v>
      </c>
      <c r="B203" s="104"/>
      <c r="C203" s="104"/>
      <c r="D203" s="104"/>
      <c r="E203" s="104"/>
    </row>
    <row r="204" spans="1:9" s="36" customFormat="1" x14ac:dyDescent="0.2"/>
    <row r="205" spans="1:9" s="36" customFormat="1" x14ac:dyDescent="0.2">
      <c r="A205" s="737" t="s">
        <v>139</v>
      </c>
      <c r="B205" s="738"/>
      <c r="C205" s="83" t="s">
        <v>108</v>
      </c>
      <c r="D205" s="83" t="s">
        <v>3</v>
      </c>
    </row>
    <row r="206" spans="1:9" s="36" customFormat="1" ht="99.75" x14ac:dyDescent="0.2">
      <c r="A206" s="739" t="s">
        <v>663</v>
      </c>
      <c r="B206" s="740"/>
      <c r="C206" s="233" t="str">
        <f>RECURSOS!K110</f>
        <v>Reciclaje de de desechos inorgánicos como papel, plástico, metales, etc</v>
      </c>
      <c r="D206" s="84" t="str">
        <f>+D208</f>
        <v>t desechos recuperadas/año</v>
      </c>
      <c r="H206" s="205" t="s">
        <v>661</v>
      </c>
      <c r="I206" s="205" t="s">
        <v>810</v>
      </c>
    </row>
    <row r="207" spans="1:9" s="36" customFormat="1" ht="57" x14ac:dyDescent="0.2">
      <c r="A207" s="741" t="s">
        <v>660</v>
      </c>
      <c r="B207" s="742"/>
      <c r="C207" s="246" t="str">
        <f>RECURSOS!K112</f>
        <v>Gas Natural o GLP</v>
      </c>
      <c r="D207" s="84"/>
      <c r="H207" s="205" t="s">
        <v>662</v>
      </c>
      <c r="I207" s="205" t="s">
        <v>811</v>
      </c>
    </row>
    <row r="208" spans="1:9" s="36" customFormat="1" ht="45" x14ac:dyDescent="0.2">
      <c r="A208" s="741" t="s">
        <v>664</v>
      </c>
      <c r="B208" s="742"/>
      <c r="C208" s="247">
        <f>RECURSOS!K113</f>
        <v>5000</v>
      </c>
      <c r="D208" s="84" t="str">
        <f>RECURSOS!O113</f>
        <v>t desechos recuperadas/año</v>
      </c>
      <c r="H208" s="205" t="s">
        <v>643</v>
      </c>
      <c r="I208" s="205" t="s">
        <v>800</v>
      </c>
    </row>
    <row r="209" spans="1:9" s="36" customFormat="1" ht="42.75" x14ac:dyDescent="0.2">
      <c r="H209" s="205" t="s">
        <v>644</v>
      </c>
      <c r="I209" s="205" t="s">
        <v>645</v>
      </c>
    </row>
    <row r="210" spans="1:9" s="36" customFormat="1" ht="57" x14ac:dyDescent="0.2">
      <c r="A210" s="667" t="s">
        <v>74</v>
      </c>
      <c r="B210" s="667"/>
      <c r="C210" s="667"/>
      <c r="D210" s="667"/>
      <c r="E210" s="266" t="s">
        <v>680</v>
      </c>
      <c r="F210" s="267" t="s">
        <v>140</v>
      </c>
      <c r="H210" s="205" t="s">
        <v>646</v>
      </c>
      <c r="I210" s="205" t="s">
        <v>647</v>
      </c>
    </row>
    <row r="211" spans="1:9" s="36" customFormat="1" ht="100.5" x14ac:dyDescent="0.25">
      <c r="A211" s="248" t="s">
        <v>661</v>
      </c>
      <c r="B211" s="769" t="s">
        <v>812</v>
      </c>
      <c r="C211" s="769"/>
      <c r="D211" s="769"/>
      <c r="E211" s="205" t="s">
        <v>661</v>
      </c>
      <c r="F211" s="205" t="s">
        <v>810</v>
      </c>
    </row>
    <row r="212" spans="1:9" s="36" customFormat="1" ht="72" x14ac:dyDescent="0.25">
      <c r="A212" s="248" t="s">
        <v>662</v>
      </c>
      <c r="B212" s="769" t="s">
        <v>813</v>
      </c>
      <c r="C212" s="769"/>
      <c r="D212" s="769"/>
      <c r="E212" s="205" t="s">
        <v>662</v>
      </c>
      <c r="F212" s="205" t="s">
        <v>811</v>
      </c>
    </row>
    <row r="213" spans="1:9" s="36" customFormat="1" ht="57.75" x14ac:dyDescent="0.25">
      <c r="A213" s="248" t="s">
        <v>643</v>
      </c>
      <c r="B213" s="769" t="s">
        <v>801</v>
      </c>
      <c r="C213" s="769"/>
      <c r="D213" s="769"/>
      <c r="E213" s="205" t="s">
        <v>643</v>
      </c>
      <c r="F213" s="205" t="s">
        <v>800</v>
      </c>
    </row>
    <row r="214" spans="1:9" s="36" customFormat="1" ht="57.75" x14ac:dyDescent="0.25">
      <c r="A214" s="248" t="s">
        <v>644</v>
      </c>
      <c r="B214" s="769" t="s">
        <v>681</v>
      </c>
      <c r="C214" s="769"/>
      <c r="D214" s="769"/>
      <c r="E214" s="205" t="s">
        <v>644</v>
      </c>
      <c r="F214" s="205" t="s">
        <v>645</v>
      </c>
    </row>
    <row r="215" spans="1:9" s="36" customFormat="1" ht="57.75" x14ac:dyDescent="0.25">
      <c r="A215" s="248" t="s">
        <v>646</v>
      </c>
      <c r="B215" s="769" t="s">
        <v>706</v>
      </c>
      <c r="C215" s="769"/>
      <c r="D215" s="769"/>
      <c r="E215" s="205" t="s">
        <v>646</v>
      </c>
      <c r="F215" s="205" t="s">
        <v>647</v>
      </c>
    </row>
    <row r="216" spans="1:9" s="36" customFormat="1" ht="15" x14ac:dyDescent="0.25">
      <c r="A216" s="248" t="s">
        <v>814</v>
      </c>
      <c r="B216" s="769" t="s">
        <v>815</v>
      </c>
      <c r="C216" s="769"/>
      <c r="D216" s="769"/>
      <c r="F216" s="35"/>
    </row>
    <row r="217" spans="1:9" s="36" customFormat="1" ht="15" x14ac:dyDescent="0.25">
      <c r="A217" s="248" t="s">
        <v>816</v>
      </c>
      <c r="B217" s="769" t="s">
        <v>817</v>
      </c>
      <c r="C217" s="769"/>
      <c r="D217" s="769"/>
      <c r="F217" s="35"/>
    </row>
    <row r="218" spans="1:9" s="36" customFormat="1" x14ac:dyDescent="0.2">
      <c r="F218" s="35"/>
    </row>
    <row r="219" spans="1:9" s="36" customFormat="1" x14ac:dyDescent="0.2">
      <c r="A219" s="748" t="s">
        <v>682</v>
      </c>
      <c r="B219" s="748"/>
      <c r="C219" s="748"/>
    </row>
    <row r="220" spans="1:9" s="36" customFormat="1" ht="28.5" x14ac:dyDescent="0.2">
      <c r="A220" s="205" t="s">
        <v>665</v>
      </c>
      <c r="B220" s="60">
        <v>0.29530000000000001</v>
      </c>
      <c r="C220" s="205" t="s">
        <v>666</v>
      </c>
    </row>
    <row r="221" spans="1:9" s="36" customFormat="1" x14ac:dyDescent="0.2">
      <c r="A221" s="205" t="s">
        <v>707</v>
      </c>
      <c r="B221" s="60">
        <f>3.785/1000</f>
        <v>3.7850000000000002E-3</v>
      </c>
      <c r="C221" s="205" t="s">
        <v>708</v>
      </c>
    </row>
    <row r="222" spans="1:9" s="36" customFormat="1" x14ac:dyDescent="0.2">
      <c r="A222" s="234"/>
      <c r="B222" s="235"/>
      <c r="C222" s="236"/>
    </row>
    <row r="223" spans="1:9" s="36" customFormat="1" x14ac:dyDescent="0.2">
      <c r="A223" s="768" t="s">
        <v>667</v>
      </c>
      <c r="B223" s="667"/>
      <c r="C223" s="667"/>
      <c r="D223" s="667"/>
      <c r="E223" s="667"/>
      <c r="G223" s="36">
        <f>1000*B221*E226</f>
        <v>8.113479066</v>
      </c>
    </row>
    <row r="224" spans="1:9" s="36" customFormat="1" ht="71.25" x14ac:dyDescent="0.2">
      <c r="A224" s="237" t="s">
        <v>54</v>
      </c>
      <c r="B224" s="238" t="s">
        <v>710</v>
      </c>
      <c r="C224" s="239" t="s">
        <v>668</v>
      </c>
      <c r="D224" s="240" t="s">
        <v>818</v>
      </c>
      <c r="E224" s="240" t="s">
        <v>819</v>
      </c>
    </row>
    <row r="225" spans="1:7" s="36" customFormat="1" x14ac:dyDescent="0.2">
      <c r="A225" s="241" t="s">
        <v>669</v>
      </c>
      <c r="B225" s="179">
        <v>850</v>
      </c>
      <c r="C225" s="96">
        <v>40.799999999999997</v>
      </c>
      <c r="D225" s="179">
        <v>72.599999999999994</v>
      </c>
      <c r="E225" s="242">
        <f>+(C225*D225/1000)/1000*(B225)</f>
        <v>2.5177679999999993</v>
      </c>
    </row>
    <row r="226" spans="1:7" s="36" customFormat="1" x14ac:dyDescent="0.2">
      <c r="A226" s="241" t="s">
        <v>670</v>
      </c>
      <c r="B226" s="179">
        <v>740</v>
      </c>
      <c r="C226" s="96">
        <v>41.8</v>
      </c>
      <c r="D226" s="179">
        <v>69.3</v>
      </c>
      <c r="E226" s="242">
        <f>+(C226*D226/1000)/1000*(B226)</f>
        <v>2.1435876</v>
      </c>
    </row>
    <row r="227" spans="1:7" s="36" customFormat="1" x14ac:dyDescent="0.2">
      <c r="A227" s="241" t="s">
        <v>569</v>
      </c>
      <c r="B227" s="179">
        <v>980</v>
      </c>
      <c r="C227" s="96">
        <v>39.700000000000003</v>
      </c>
      <c r="D227" s="179">
        <v>73.3</v>
      </c>
      <c r="E227" s="242">
        <f>+(C227*D227/1000)/1000*(B227)</f>
        <v>2.8518098000000003</v>
      </c>
    </row>
    <row r="228" spans="1:7" s="36" customFormat="1" x14ac:dyDescent="0.2">
      <c r="A228" s="241" t="s">
        <v>671</v>
      </c>
      <c r="B228" s="179"/>
      <c r="C228" s="96">
        <v>46.5</v>
      </c>
      <c r="D228" s="179">
        <v>54.3</v>
      </c>
      <c r="E228" s="242">
        <f>+C228*D228/1000</f>
        <v>2.52495</v>
      </c>
    </row>
    <row r="229" spans="1:7" s="36" customFormat="1" x14ac:dyDescent="0.2">
      <c r="A229" s="241" t="s">
        <v>709</v>
      </c>
      <c r="B229" s="770" t="s">
        <v>820</v>
      </c>
      <c r="C229" s="770"/>
      <c r="D229" s="770"/>
      <c r="E229" s="770"/>
    </row>
    <row r="230" spans="1:7" s="36" customFormat="1" x14ac:dyDescent="0.2">
      <c r="A230" s="243"/>
    </row>
    <row r="231" spans="1:7" s="36" customFormat="1" x14ac:dyDescent="0.2">
      <c r="A231" s="187" t="s">
        <v>148</v>
      </c>
      <c r="B231" s="187"/>
    </row>
    <row r="232" spans="1:7" s="36" customFormat="1" x14ac:dyDescent="0.2">
      <c r="A232" s="71" t="s">
        <v>85</v>
      </c>
      <c r="B232" s="71"/>
      <c r="C232" s="72" t="s">
        <v>3</v>
      </c>
      <c r="D232" s="72" t="s">
        <v>140</v>
      </c>
    </row>
    <row r="233" spans="1:7" s="36" customFormat="1" ht="45" x14ac:dyDescent="0.25">
      <c r="A233" s="743" t="s">
        <v>642</v>
      </c>
      <c r="B233" s="744"/>
      <c r="C233" s="244">
        <f>+C208</f>
        <v>5000</v>
      </c>
      <c r="D233" s="232" t="str">
        <f>+D206</f>
        <v>t desechos recuperadas/año</v>
      </c>
      <c r="F233" s="36">
        <f>1000/10000</f>
        <v>0.1</v>
      </c>
      <c r="G233" s="36">
        <f>+F233*E228</f>
        <v>0.25249500000000002</v>
      </c>
    </row>
    <row r="234" spans="1:7" s="36" customFormat="1" ht="15" x14ac:dyDescent="0.25">
      <c r="A234" s="743" t="str">
        <f>+IF(OR(C206=E213,C206=E215),"Toneladas de CO2 evitadas","")</f>
        <v/>
      </c>
      <c r="B234" s="744"/>
      <c r="C234" s="245" t="str">
        <f>IF(OR(C206=E213,C206=E215),IF(C206=E215,IF(C207=A228,C208/1000*E228,C208*B221*VLOOKUP(C207,A225:E227,5,FALSE)),IF(C206=E213,C208*B220,C208)),"")</f>
        <v/>
      </c>
      <c r="D234" s="86" t="str">
        <f>+IF(OR(C206=E213,C206=E215),"t CO2/año","")</f>
        <v/>
      </c>
    </row>
    <row r="235" spans="1:7" x14ac:dyDescent="0.2"/>
    <row r="236" spans="1:7" x14ac:dyDescent="0.2"/>
    <row r="237" spans="1:7" x14ac:dyDescent="0.2"/>
  </sheetData>
  <mergeCells count="65">
    <mergeCell ref="A233:B233"/>
    <mergeCell ref="A234:B234"/>
    <mergeCell ref="A223:E223"/>
    <mergeCell ref="A210:D210"/>
    <mergeCell ref="B211:D211"/>
    <mergeCell ref="B212:D212"/>
    <mergeCell ref="B213:D213"/>
    <mergeCell ref="B214:D214"/>
    <mergeCell ref="B215:D215"/>
    <mergeCell ref="B216:D216"/>
    <mergeCell ref="B217:D217"/>
    <mergeCell ref="B229:E229"/>
    <mergeCell ref="A219:C219"/>
    <mergeCell ref="A92:B92"/>
    <mergeCell ref="A96:E96"/>
    <mergeCell ref="A77:E77"/>
    <mergeCell ref="A80:D80"/>
    <mergeCell ref="B81:D81"/>
    <mergeCell ref="B82:D82"/>
    <mergeCell ref="A84:C84"/>
    <mergeCell ref="A85:B85"/>
    <mergeCell ref="A110:E110"/>
    <mergeCell ref="A113:E113"/>
    <mergeCell ref="A116:D116"/>
    <mergeCell ref="B117:D117"/>
    <mergeCell ref="B52:F52"/>
    <mergeCell ref="B55:F55"/>
    <mergeCell ref="B58:C58"/>
    <mergeCell ref="D58:E58"/>
    <mergeCell ref="B60:D60"/>
    <mergeCell ref="B61:D61"/>
    <mergeCell ref="B62:D62"/>
    <mergeCell ref="B68:C68"/>
    <mergeCell ref="B69:C69"/>
    <mergeCell ref="A74:E74"/>
    <mergeCell ref="A86:B86"/>
    <mergeCell ref="A91:B91"/>
    <mergeCell ref="A132:E132"/>
    <mergeCell ref="A135:E135"/>
    <mergeCell ref="A138:D138"/>
    <mergeCell ref="B139:D139"/>
    <mergeCell ref="B118:D118"/>
    <mergeCell ref="A120:C120"/>
    <mergeCell ref="A121:B121"/>
    <mergeCell ref="A122:B122"/>
    <mergeCell ref="A127:B127"/>
    <mergeCell ref="A186:E186"/>
    <mergeCell ref="A189:D189"/>
    <mergeCell ref="B190:D190"/>
    <mergeCell ref="A154:E154"/>
    <mergeCell ref="B140:D140"/>
    <mergeCell ref="A142:C142"/>
    <mergeCell ref="A143:B143"/>
    <mergeCell ref="A144:B144"/>
    <mergeCell ref="A149:B149"/>
    <mergeCell ref="B191:D191"/>
    <mergeCell ref="A193:C193"/>
    <mergeCell ref="A194:B194"/>
    <mergeCell ref="A195:B195"/>
    <mergeCell ref="A200:B200"/>
    <mergeCell ref="A205:B205"/>
    <mergeCell ref="A206:B206"/>
    <mergeCell ref="A207:B207"/>
    <mergeCell ref="A208:B208"/>
    <mergeCell ref="A201:B201"/>
  </mergeCells>
  <conditionalFormatting sqref="C207:C208">
    <cfRule type="cellIs" dxfId="44" priority="3" operator="equal">
      <formula>0</formula>
    </cfRule>
    <cfRule type="expression" dxfId="43" priority="4">
      <formula>$D$8=$H$11</formula>
    </cfRule>
    <cfRule type="expression" dxfId="42" priority="5">
      <formula>$D$8=$H$11</formula>
    </cfRule>
  </conditionalFormatting>
  <conditionalFormatting sqref="C234">
    <cfRule type="containsBlanks" dxfId="41" priority="1">
      <formula>LEN(TRIM(C234))=0</formula>
    </cfRule>
  </conditionalFormatting>
  <conditionalFormatting sqref="D68:D69">
    <cfRule type="containsBlanks" dxfId="40" priority="15">
      <formula>LEN(TRIM(D68))=0</formula>
    </cfRule>
  </conditionalFormatting>
  <conditionalFormatting sqref="D200">
    <cfRule type="containsBlanks" dxfId="39" priority="13">
      <formula>LEN(TRIM(D200))=0</formula>
    </cfRule>
  </conditionalFormatting>
  <conditionalFormatting sqref="D233:D234">
    <cfRule type="containsBlanks" dxfId="38" priority="2">
      <formula>LEN(TRIM(D233))=0</formula>
    </cfRule>
  </conditionalFormatting>
  <conditionalFormatting sqref="E68">
    <cfRule type="containsBlanks" dxfId="37" priority="14">
      <formula>LEN(TRIM(E68))=0</formula>
    </cfRule>
  </conditionalFormatting>
  <dataValidations disablePrompts="1" count="1">
    <dataValidation type="list" allowBlank="1" showInputMessage="1" showErrorMessage="1" sqref="C79 C89 C83:C84 C115 C125 C119:C120 C137 C147 C141:C142 C188 C198 C192:C193" xr:uid="{E9B49F45-1D6D-4F2F-9BFB-EA3FCE33115A}">
      <formula1>$A$34:$A$35</formula1>
    </dataValidation>
  </dataValidations>
  <pageMargins left="0.7" right="0.7" top="0.75" bottom="0.75" header="0.3" footer="0.3"/>
  <tableParts count="2">
    <tablePart r:id="rId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B1527-7B6C-4911-BD28-70C3BCC75507}">
  <sheetPr>
    <tabColor theme="3" tint="-0.249977111117893"/>
  </sheetPr>
  <dimension ref="A1:S107"/>
  <sheetViews>
    <sheetView topLeftCell="A94" zoomScale="110" zoomScaleNormal="110" workbookViewId="0">
      <selection activeCell="G5" sqref="G5"/>
    </sheetView>
  </sheetViews>
  <sheetFormatPr baseColWidth="10" defaultColWidth="0" defaultRowHeight="14.25" zeroHeight="1" x14ac:dyDescent="0.2"/>
  <cols>
    <col min="1" max="1" width="2.625" customWidth="1"/>
    <col min="2" max="5" width="11" customWidth="1"/>
    <col min="6" max="6" width="3.625" customWidth="1"/>
    <col min="7" max="7" width="11" customWidth="1"/>
    <col min="8" max="8" width="2.625" customWidth="1"/>
    <col min="9" max="9" width="9.125" customWidth="1"/>
    <col min="10" max="10" width="12.25" customWidth="1"/>
    <col min="11" max="12" width="2.625" customWidth="1"/>
    <col min="13" max="13" width="6.375" customWidth="1"/>
    <col min="14" max="14" width="2.625" customWidth="1"/>
    <col min="15" max="15" width="11" customWidth="1"/>
    <col min="16" max="16" width="7.5" customWidth="1"/>
    <col min="17" max="17" width="6.125" customWidth="1"/>
    <col min="18" max="18" width="12.25" customWidth="1"/>
    <col min="19" max="19" width="11" customWidth="1"/>
    <col min="20" max="16384" width="11" hidden="1"/>
  </cols>
  <sheetData>
    <row r="1" spans="1:19" x14ac:dyDescent="0.2">
      <c r="A1" s="2"/>
      <c r="B1" s="2"/>
      <c r="C1" s="3"/>
      <c r="D1" s="4"/>
      <c r="E1" s="4"/>
      <c r="F1" s="4"/>
      <c r="G1" s="4"/>
      <c r="H1" s="4"/>
      <c r="I1" s="4"/>
      <c r="J1" s="4"/>
      <c r="K1" s="4"/>
      <c r="L1" s="4"/>
      <c r="M1" s="4"/>
      <c r="N1" s="4"/>
      <c r="O1" s="4"/>
      <c r="P1" s="4"/>
      <c r="Q1" s="4"/>
      <c r="R1" s="4"/>
      <c r="S1" s="4"/>
    </row>
    <row r="2" spans="1:19" x14ac:dyDescent="0.2">
      <c r="A2" s="2"/>
      <c r="B2" s="2"/>
      <c r="C2" s="3"/>
      <c r="D2" s="4"/>
      <c r="E2" s="4"/>
      <c r="F2" s="4"/>
      <c r="G2" s="4"/>
      <c r="H2" s="4"/>
      <c r="I2" s="4"/>
      <c r="J2" s="4"/>
      <c r="K2" s="4"/>
      <c r="L2" s="4"/>
      <c r="M2" s="4"/>
      <c r="N2" s="4"/>
      <c r="O2" s="4"/>
      <c r="P2" s="4"/>
      <c r="Q2" s="4"/>
      <c r="R2" s="4"/>
      <c r="S2" s="4"/>
    </row>
    <row r="3" spans="1:19" x14ac:dyDescent="0.2">
      <c r="A3" s="2"/>
      <c r="B3" s="2"/>
      <c r="C3" s="811"/>
      <c r="D3" s="811"/>
      <c r="E3" s="811"/>
      <c r="F3" s="811"/>
      <c r="G3" s="811"/>
      <c r="H3" s="811"/>
      <c r="I3" s="811"/>
      <c r="J3" s="811"/>
      <c r="K3" s="811"/>
      <c r="L3" s="811"/>
      <c r="M3" s="4"/>
      <c r="N3" s="4"/>
      <c r="O3" s="4"/>
      <c r="P3" s="4"/>
      <c r="Q3" s="4"/>
      <c r="R3" s="4"/>
      <c r="S3" s="4"/>
    </row>
    <row r="4" spans="1:19" x14ac:dyDescent="0.2">
      <c r="A4" s="2"/>
      <c r="B4" s="2"/>
      <c r="C4" s="5"/>
      <c r="D4" s="5"/>
      <c r="E4" s="5"/>
      <c r="F4" s="5"/>
      <c r="G4" s="5"/>
      <c r="H4" s="5"/>
      <c r="I4" s="5"/>
      <c r="J4" s="5"/>
      <c r="K4" s="18"/>
      <c r="L4" s="18"/>
      <c r="M4" s="4"/>
      <c r="N4" s="4"/>
      <c r="O4" s="4"/>
      <c r="P4" s="4"/>
      <c r="Q4" s="4"/>
      <c r="R4" s="4"/>
      <c r="S4" s="4"/>
    </row>
    <row r="5" spans="1:19" x14ac:dyDescent="0.2">
      <c r="A5" s="2"/>
      <c r="B5" s="2"/>
      <c r="C5" s="5"/>
      <c r="D5" s="5"/>
      <c r="E5" s="5"/>
      <c r="F5" s="6"/>
      <c r="G5" s="342" t="s">
        <v>186</v>
      </c>
      <c r="H5" s="341"/>
      <c r="I5" s="341"/>
      <c r="J5" s="5"/>
      <c r="K5" s="18"/>
      <c r="L5" s="18"/>
      <c r="M5" s="4"/>
      <c r="N5" s="4"/>
      <c r="O5" s="4"/>
      <c r="P5" s="4"/>
      <c r="Q5" s="4"/>
      <c r="R5" s="4"/>
      <c r="S5" s="4"/>
    </row>
    <row r="6" spans="1:19" x14ac:dyDescent="0.2">
      <c r="A6" s="2"/>
      <c r="B6" s="2"/>
      <c r="C6" s="5"/>
      <c r="D6" s="5"/>
      <c r="E6" s="5"/>
      <c r="F6" s="6"/>
      <c r="G6" s="342" t="s">
        <v>187</v>
      </c>
      <c r="H6" s="341"/>
      <c r="I6" s="341"/>
      <c r="J6" s="5"/>
      <c r="K6" s="18"/>
      <c r="L6" s="18"/>
      <c r="M6" s="4"/>
      <c r="N6" s="4"/>
      <c r="O6" s="4"/>
      <c r="P6" s="4"/>
      <c r="Q6" s="4"/>
      <c r="R6" s="4"/>
      <c r="S6" s="4"/>
    </row>
    <row r="7" spans="1:19" x14ac:dyDescent="0.2">
      <c r="A7" s="2"/>
      <c r="B7" s="2"/>
      <c r="C7" s="5"/>
      <c r="D7" s="5"/>
      <c r="E7" s="5"/>
      <c r="F7" s="6"/>
      <c r="G7" s="342" t="s">
        <v>188</v>
      </c>
      <c r="H7" s="341"/>
      <c r="I7" s="341"/>
      <c r="J7" s="5"/>
      <c r="K7" s="18"/>
      <c r="L7" s="18"/>
      <c r="M7" s="4"/>
      <c r="N7" s="4"/>
      <c r="O7" s="4"/>
      <c r="P7" s="4"/>
      <c r="Q7" s="4"/>
      <c r="R7" s="4"/>
      <c r="S7" s="4"/>
    </row>
    <row r="8" spans="1:19" x14ac:dyDescent="0.2">
      <c r="A8" s="2"/>
      <c r="B8" s="2"/>
      <c r="C8" s="5"/>
      <c r="D8" s="5"/>
      <c r="E8" s="5"/>
      <c r="F8" s="6"/>
      <c r="G8" s="342" t="s">
        <v>189</v>
      </c>
      <c r="H8" s="341"/>
      <c r="I8" s="341"/>
      <c r="J8" s="5"/>
      <c r="K8" s="18"/>
      <c r="L8" s="18"/>
      <c r="M8" s="4"/>
      <c r="N8" s="4"/>
      <c r="O8" s="4"/>
      <c r="P8" s="4"/>
      <c r="Q8" s="4"/>
      <c r="R8" s="4"/>
      <c r="S8" s="4"/>
    </row>
    <row r="9" spans="1:19" x14ac:dyDescent="0.2">
      <c r="A9" s="2"/>
      <c r="B9" s="2"/>
      <c r="C9" s="5"/>
      <c r="D9" s="5"/>
      <c r="E9" s="5"/>
      <c r="F9" s="6"/>
      <c r="H9" s="5"/>
      <c r="I9" s="5"/>
      <c r="J9" s="5"/>
      <c r="K9" s="18"/>
      <c r="L9" s="18"/>
      <c r="M9" s="4"/>
      <c r="N9" s="4"/>
      <c r="O9" s="4"/>
      <c r="P9" s="4"/>
      <c r="Q9" s="4"/>
      <c r="R9" s="4"/>
      <c r="S9" s="4"/>
    </row>
    <row r="10" spans="1:19" x14ac:dyDescent="0.2">
      <c r="A10" s="2"/>
      <c r="B10" s="2"/>
      <c r="C10" s="5"/>
      <c r="D10" s="5"/>
      <c r="E10" s="5"/>
      <c r="F10" s="5"/>
      <c r="G10" s="5"/>
      <c r="H10" s="5"/>
      <c r="I10" s="5"/>
      <c r="J10" s="5"/>
      <c r="K10" s="18"/>
      <c r="L10" s="18"/>
      <c r="M10" s="4"/>
      <c r="N10" s="4"/>
      <c r="O10" s="4"/>
      <c r="P10" s="4"/>
      <c r="Q10" s="4"/>
      <c r="R10" s="4"/>
      <c r="S10" s="4"/>
    </row>
    <row r="11" spans="1:19" x14ac:dyDescent="0.2">
      <c r="A11" s="2"/>
      <c r="B11" s="2"/>
      <c r="C11" s="3"/>
      <c r="D11" s="4"/>
      <c r="E11" s="4"/>
      <c r="F11" s="4"/>
      <c r="G11" s="4"/>
      <c r="H11" s="4"/>
      <c r="I11" s="4"/>
      <c r="J11" s="4"/>
      <c r="K11" s="4"/>
      <c r="L11" s="4"/>
      <c r="M11" s="4"/>
      <c r="N11" s="4"/>
      <c r="O11" s="4"/>
      <c r="P11" s="4"/>
      <c r="Q11" s="4"/>
      <c r="R11" s="4"/>
      <c r="S11" s="4"/>
    </row>
    <row r="12" spans="1:19" ht="20.100000000000001" customHeight="1" x14ac:dyDescent="0.2">
      <c r="A12" s="2"/>
      <c r="B12" s="2"/>
      <c r="C12" s="3"/>
      <c r="D12" s="4"/>
      <c r="E12" s="807" t="s">
        <v>193</v>
      </c>
      <c r="F12" s="796" t="s">
        <v>2</v>
      </c>
      <c r="G12" s="796"/>
      <c r="H12" s="796"/>
      <c r="I12" s="796"/>
      <c r="J12" s="814" t="s">
        <v>190</v>
      </c>
      <c r="K12" s="815"/>
      <c r="L12" s="815"/>
      <c r="M12" s="815"/>
      <c r="N12" s="815"/>
      <c r="O12" s="815"/>
      <c r="P12" s="815"/>
      <c r="Q12" s="815"/>
      <c r="R12" s="815"/>
      <c r="S12" s="4"/>
    </row>
    <row r="13" spans="1:19" ht="20.100000000000001" customHeight="1" x14ac:dyDescent="0.2">
      <c r="A13" s="2"/>
      <c r="B13" s="2"/>
      <c r="C13" s="3"/>
      <c r="D13" s="4"/>
      <c r="E13" s="807"/>
      <c r="F13" s="796" t="s">
        <v>3</v>
      </c>
      <c r="G13" s="796"/>
      <c r="H13" s="796"/>
      <c r="I13" s="796"/>
      <c r="J13" s="814" t="s">
        <v>192</v>
      </c>
      <c r="K13" s="815"/>
      <c r="L13" s="815"/>
      <c r="M13" s="815"/>
      <c r="N13" s="815"/>
      <c r="O13" s="815"/>
      <c r="P13" s="815"/>
      <c r="Q13" s="815"/>
      <c r="R13" s="815"/>
      <c r="S13" s="4"/>
    </row>
    <row r="14" spans="1:19" ht="80.099999999999994" customHeight="1" x14ac:dyDescent="0.2">
      <c r="A14" s="2"/>
      <c r="B14" s="2"/>
      <c r="C14" s="3"/>
      <c r="D14" s="4"/>
      <c r="E14" s="4"/>
      <c r="F14" s="796" t="s">
        <v>50</v>
      </c>
      <c r="G14" s="796"/>
      <c r="H14" s="796"/>
      <c r="I14" s="796"/>
      <c r="J14" s="812" t="s">
        <v>191</v>
      </c>
      <c r="K14" s="813"/>
      <c r="L14" s="813"/>
      <c r="M14" s="813"/>
      <c r="N14" s="813"/>
      <c r="O14" s="813"/>
      <c r="P14" s="813"/>
      <c r="Q14" s="813"/>
      <c r="R14" s="813"/>
      <c r="S14" s="4"/>
    </row>
    <row r="15" spans="1:19" x14ac:dyDescent="0.2">
      <c r="A15" s="2"/>
      <c r="B15" s="2"/>
      <c r="C15" s="3"/>
      <c r="D15" s="4"/>
      <c r="E15" s="4"/>
      <c r="F15" s="4"/>
      <c r="G15" s="4"/>
      <c r="H15" s="4"/>
      <c r="I15" s="4"/>
      <c r="J15" s="4"/>
      <c r="K15" s="4"/>
      <c r="L15" s="4"/>
      <c r="M15" s="4"/>
      <c r="N15" s="4"/>
      <c r="O15" s="4"/>
      <c r="P15" s="4"/>
      <c r="Q15" s="4"/>
      <c r="R15" s="4"/>
      <c r="S15" s="4"/>
    </row>
    <row r="16" spans="1:19" ht="15" x14ac:dyDescent="0.2">
      <c r="A16" s="2"/>
      <c r="B16" s="2"/>
      <c r="C16" s="3"/>
      <c r="D16" s="4"/>
      <c r="E16" s="4"/>
      <c r="F16" s="772" t="s">
        <v>20</v>
      </c>
      <c r="G16" s="772"/>
      <c r="H16" s="772"/>
      <c r="I16" s="772"/>
      <c r="J16" s="772"/>
      <c r="K16" s="772"/>
      <c r="L16" s="772"/>
      <c r="M16" s="772"/>
      <c r="N16" s="772"/>
      <c r="O16" s="772"/>
      <c r="P16" s="772"/>
      <c r="Q16" s="772"/>
      <c r="R16" s="772"/>
      <c r="S16" s="4"/>
    </row>
    <row r="17" spans="1:19" ht="9.9499999999999993" customHeight="1" x14ac:dyDescent="0.2">
      <c r="A17" s="2"/>
      <c r="B17" s="2"/>
      <c r="C17" s="3"/>
      <c r="D17" s="4"/>
      <c r="E17" s="4"/>
      <c r="F17" s="4"/>
      <c r="G17" s="4"/>
      <c r="H17" s="4"/>
      <c r="I17" s="4"/>
      <c r="J17" s="4"/>
      <c r="K17" s="4"/>
      <c r="L17" s="4"/>
      <c r="M17" s="4"/>
      <c r="N17" s="4"/>
      <c r="O17" s="4"/>
      <c r="P17" s="4"/>
      <c r="Q17" s="4"/>
      <c r="R17" s="4"/>
      <c r="S17" s="4"/>
    </row>
    <row r="18" spans="1:19" x14ac:dyDescent="0.2">
      <c r="A18" s="2"/>
      <c r="B18" s="2"/>
      <c r="C18" s="3"/>
      <c r="D18" s="4"/>
      <c r="E18" s="4"/>
      <c r="F18" s="427" t="s">
        <v>1064</v>
      </c>
      <c r="G18" s="4"/>
      <c r="H18" s="4"/>
      <c r="I18" s="4"/>
      <c r="J18" s="4"/>
      <c r="K18" s="4"/>
      <c r="L18" s="4"/>
      <c r="M18" s="4"/>
      <c r="N18" s="4"/>
      <c r="O18" s="57"/>
      <c r="P18" s="4"/>
      <c r="Q18" s="4"/>
      <c r="R18" s="4"/>
      <c r="S18" s="4"/>
    </row>
    <row r="19" spans="1:19" x14ac:dyDescent="0.2">
      <c r="A19" s="2"/>
      <c r="B19" s="2"/>
      <c r="C19" s="3"/>
      <c r="D19" s="4"/>
      <c r="E19" s="4"/>
      <c r="F19" s="57" t="s">
        <v>943</v>
      </c>
      <c r="G19" s="4"/>
      <c r="H19" s="4"/>
      <c r="I19" s="4"/>
      <c r="J19" s="4"/>
      <c r="K19" s="4"/>
      <c r="L19" s="4"/>
      <c r="M19" s="4"/>
      <c r="N19" s="4"/>
      <c r="O19" s="57"/>
      <c r="P19" s="4"/>
      <c r="Q19" s="4"/>
      <c r="R19" s="4"/>
      <c r="S19" s="4"/>
    </row>
    <row r="20" spans="1:19" x14ac:dyDescent="0.2">
      <c r="A20" s="2"/>
      <c r="B20" s="2"/>
      <c r="C20" s="3"/>
      <c r="D20" s="4"/>
      <c r="E20" s="4"/>
      <c r="F20" s="4"/>
      <c r="G20" s="17"/>
      <c r="H20" s="4"/>
      <c r="I20" s="4"/>
      <c r="J20" s="4"/>
      <c r="K20" s="4"/>
      <c r="L20" s="4"/>
      <c r="M20" s="4"/>
      <c r="N20" s="4"/>
      <c r="O20" s="57"/>
      <c r="P20" s="4"/>
      <c r="Q20" s="4"/>
      <c r="R20" s="4"/>
      <c r="S20" s="4"/>
    </row>
    <row r="21" spans="1:19" ht="35.1" customHeight="1" x14ac:dyDescent="0.2">
      <c r="A21" s="2"/>
      <c r="B21" s="2"/>
      <c r="C21" s="3"/>
      <c r="D21" s="4"/>
      <c r="E21" s="4"/>
      <c r="F21" s="797" t="s">
        <v>201</v>
      </c>
      <c r="G21" s="797"/>
      <c r="H21" s="797"/>
      <c r="I21" s="70" t="s">
        <v>944</v>
      </c>
      <c r="J21" s="70" t="s">
        <v>229</v>
      </c>
      <c r="K21" s="797" t="s">
        <v>140</v>
      </c>
      <c r="L21" s="797"/>
      <c r="M21" s="797"/>
      <c r="N21" s="797" t="s">
        <v>200</v>
      </c>
      <c r="O21" s="797"/>
      <c r="P21" s="797"/>
      <c r="Q21" s="797"/>
      <c r="R21" s="797"/>
      <c r="S21" s="4"/>
    </row>
    <row r="22" spans="1:19" ht="14.25" customHeight="1" x14ac:dyDescent="0.2">
      <c r="A22" s="2"/>
      <c r="B22" s="2"/>
      <c r="C22" s="3"/>
      <c r="D22" s="4"/>
      <c r="E22" s="4"/>
      <c r="F22" s="800" t="s">
        <v>205</v>
      </c>
      <c r="G22" s="800"/>
      <c r="H22" s="800"/>
      <c r="I22" s="543" t="s">
        <v>945</v>
      </c>
      <c r="J22" s="543">
        <v>150</v>
      </c>
      <c r="K22" s="798" t="s">
        <v>230</v>
      </c>
      <c r="L22" s="798"/>
      <c r="M22" s="798"/>
      <c r="N22" s="801" t="s">
        <v>224</v>
      </c>
      <c r="O22" s="801"/>
      <c r="P22" s="801"/>
      <c r="Q22" s="801"/>
      <c r="R22" s="801"/>
      <c r="S22" s="4"/>
    </row>
    <row r="23" spans="1:19" ht="14.25" customHeight="1" x14ac:dyDescent="0.2">
      <c r="A23" s="2"/>
      <c r="B23" s="2"/>
      <c r="C23" s="3"/>
      <c r="D23" s="4"/>
      <c r="E23" s="4"/>
      <c r="F23" s="800" t="s">
        <v>207</v>
      </c>
      <c r="G23" s="800"/>
      <c r="H23" s="800"/>
      <c r="I23" s="543" t="s">
        <v>945</v>
      </c>
      <c r="J23" s="543">
        <v>200</v>
      </c>
      <c r="K23" s="798" t="s">
        <v>230</v>
      </c>
      <c r="L23" s="798"/>
      <c r="M23" s="798"/>
      <c r="N23" s="801" t="s">
        <v>225</v>
      </c>
      <c r="O23" s="801"/>
      <c r="P23" s="801"/>
      <c r="Q23" s="801"/>
      <c r="R23" s="801"/>
      <c r="S23" s="4"/>
    </row>
    <row r="24" spans="1:19" ht="14.25" customHeight="1" x14ac:dyDescent="0.2">
      <c r="A24" s="2"/>
      <c r="B24" s="2"/>
      <c r="C24" s="3"/>
      <c r="D24" s="4"/>
      <c r="E24" s="4"/>
      <c r="F24" s="800" t="s">
        <v>208</v>
      </c>
      <c r="G24" s="800"/>
      <c r="H24" s="800"/>
      <c r="I24" s="543"/>
      <c r="J24" s="507"/>
      <c r="K24" s="798"/>
      <c r="L24" s="798"/>
      <c r="M24" s="798"/>
      <c r="N24" s="802"/>
      <c r="O24" s="802"/>
      <c r="P24" s="802"/>
      <c r="Q24" s="802"/>
      <c r="R24" s="802"/>
      <c r="S24" s="4"/>
    </row>
    <row r="25" spans="1:19" ht="14.25" customHeight="1" x14ac:dyDescent="0.2">
      <c r="A25" s="2"/>
      <c r="B25" s="2"/>
      <c r="C25" s="3"/>
      <c r="D25" s="4"/>
      <c r="E25" s="4"/>
      <c r="F25" s="810" t="s">
        <v>209</v>
      </c>
      <c r="G25" s="810"/>
      <c r="H25" s="810"/>
      <c r="I25" s="810"/>
      <c r="J25" s="810"/>
      <c r="K25" s="810"/>
      <c r="L25" s="810"/>
      <c r="M25" s="810"/>
      <c r="N25" s="810"/>
      <c r="O25" s="810"/>
      <c r="P25" s="806">
        <v>15</v>
      </c>
      <c r="Q25" s="806"/>
      <c r="R25" s="387" t="s">
        <v>458</v>
      </c>
      <c r="S25" s="324"/>
    </row>
    <row r="26" spans="1:19" x14ac:dyDescent="0.2">
      <c r="A26" s="2"/>
      <c r="B26" s="2"/>
      <c r="C26" s="3"/>
      <c r="D26" s="4"/>
      <c r="E26" s="4"/>
      <c r="F26" s="17"/>
      <c r="G26" s="4"/>
      <c r="H26" s="4"/>
      <c r="I26" s="4"/>
      <c r="J26" s="4"/>
      <c r="K26" s="4"/>
      <c r="L26" s="4"/>
      <c r="M26" s="4"/>
      <c r="N26" s="4"/>
      <c r="O26" s="57"/>
      <c r="P26" s="57"/>
      <c r="Q26" s="57"/>
      <c r="R26" s="57"/>
      <c r="S26" s="4"/>
    </row>
    <row r="27" spans="1:19" ht="15" x14ac:dyDescent="0.2">
      <c r="A27" s="2"/>
      <c r="B27" s="2"/>
      <c r="C27" s="3"/>
      <c r="D27" s="4"/>
      <c r="E27" s="4"/>
      <c r="F27" s="772" t="s">
        <v>36</v>
      </c>
      <c r="G27" s="772"/>
      <c r="H27" s="772"/>
      <c r="I27" s="772"/>
      <c r="J27" s="772"/>
      <c r="K27" s="772"/>
      <c r="L27" s="772"/>
      <c r="M27" s="772"/>
      <c r="N27" s="772"/>
      <c r="O27" s="772"/>
      <c r="P27" s="772"/>
      <c r="Q27" s="772"/>
      <c r="R27" s="772"/>
      <c r="S27" s="4"/>
    </row>
    <row r="28" spans="1:19" x14ac:dyDescent="0.2">
      <c r="A28" s="2"/>
      <c r="B28" s="2"/>
      <c r="C28" s="3"/>
      <c r="D28" s="4"/>
      <c r="E28" s="4"/>
      <c r="F28" s="4"/>
      <c r="G28" s="4"/>
      <c r="H28" s="4"/>
      <c r="I28" s="4"/>
      <c r="J28" s="4"/>
      <c r="K28" s="4"/>
      <c r="L28" s="4"/>
      <c r="M28" s="4"/>
      <c r="N28" s="4"/>
      <c r="O28" s="4"/>
      <c r="P28" s="4"/>
      <c r="Q28" s="4"/>
      <c r="R28" s="4"/>
      <c r="S28" s="4"/>
    </row>
    <row r="29" spans="1:19" ht="30" customHeight="1" x14ac:dyDescent="0.2">
      <c r="A29" s="2"/>
      <c r="B29" s="2"/>
      <c r="C29" s="3"/>
      <c r="D29" s="4"/>
      <c r="E29" s="4"/>
      <c r="F29" s="797" t="s">
        <v>85</v>
      </c>
      <c r="G29" s="797"/>
      <c r="H29" s="797"/>
      <c r="I29" s="797"/>
      <c r="J29" s="70" t="s">
        <v>3</v>
      </c>
      <c r="K29" s="803" t="s">
        <v>140</v>
      </c>
      <c r="L29" s="804"/>
      <c r="M29" s="805"/>
      <c r="N29" s="803" t="s">
        <v>3</v>
      </c>
      <c r="O29" s="805"/>
      <c r="P29" s="803" t="s">
        <v>140</v>
      </c>
      <c r="Q29" s="805"/>
      <c r="R29" s="70" t="s">
        <v>210</v>
      </c>
      <c r="S29" s="4"/>
    </row>
    <row r="30" spans="1:19" ht="22.5" customHeight="1" x14ac:dyDescent="0.2">
      <c r="A30" s="2"/>
      <c r="B30" s="2"/>
      <c r="C30" s="3"/>
      <c r="D30" s="4"/>
      <c r="E30" s="4"/>
      <c r="F30" s="778" t="s">
        <v>205</v>
      </c>
      <c r="G30" s="778"/>
      <c r="H30" s="778"/>
      <c r="I30" s="778"/>
      <c r="J30" s="495">
        <f>Datos_residuos!C21</f>
        <v>54.75</v>
      </c>
      <c r="K30" s="781" t="s">
        <v>803</v>
      </c>
      <c r="L30" s="782"/>
      <c r="M30" s="783"/>
      <c r="N30" s="793">
        <f>Datos_residuos!E21</f>
        <v>67.342500000000001</v>
      </c>
      <c r="O30" s="794"/>
      <c r="P30" s="779" t="s">
        <v>1087</v>
      </c>
      <c r="Q30" s="780"/>
      <c r="R30" s="344" t="str">
        <f>Datos_residuos!G21</f>
        <v>Venta a empresas como materia prima</v>
      </c>
      <c r="S30" s="4"/>
    </row>
    <row r="31" spans="1:19" ht="22.5" customHeight="1" x14ac:dyDescent="0.2">
      <c r="A31" s="2"/>
      <c r="B31" s="2"/>
      <c r="C31" s="3"/>
      <c r="D31" s="4"/>
      <c r="E31" s="4"/>
      <c r="F31" s="778" t="s">
        <v>207</v>
      </c>
      <c r="G31" s="778"/>
      <c r="H31" s="778"/>
      <c r="I31" s="778"/>
      <c r="J31" s="495">
        <f>Datos_residuos!C22</f>
        <v>73</v>
      </c>
      <c r="K31" s="781" t="s">
        <v>803</v>
      </c>
      <c r="L31" s="782"/>
      <c r="M31" s="783"/>
      <c r="N31" s="793">
        <f>Datos_residuos!E22</f>
        <v>134.83099999999999</v>
      </c>
      <c r="O31" s="794"/>
      <c r="P31" s="779" t="s">
        <v>1087</v>
      </c>
      <c r="Q31" s="780"/>
      <c r="R31" s="344" t="str">
        <f>Datos_residuos!G22</f>
        <v>Exportación</v>
      </c>
      <c r="S31" s="4"/>
    </row>
    <row r="32" spans="1:19" ht="22.5" customHeight="1" x14ac:dyDescent="0.2">
      <c r="A32" s="2"/>
      <c r="B32" s="2"/>
      <c r="C32" s="3"/>
      <c r="D32" s="4"/>
      <c r="E32" s="4"/>
      <c r="F32" s="778" t="s">
        <v>208</v>
      </c>
      <c r="G32" s="778"/>
      <c r="H32" s="778"/>
      <c r="I32" s="778"/>
      <c r="J32" s="495" t="str">
        <f>Datos_residuos!C23</f>
        <v>-</v>
      </c>
      <c r="K32" s="781" t="s">
        <v>803</v>
      </c>
      <c r="L32" s="782"/>
      <c r="M32" s="783"/>
      <c r="N32" s="793" t="str">
        <f>Datos_residuos!E23</f>
        <v>-</v>
      </c>
      <c r="O32" s="794"/>
      <c r="P32" s="779" t="s">
        <v>1087</v>
      </c>
      <c r="Q32" s="780"/>
      <c r="R32" s="344" t="str">
        <f>Datos_residuos!G23</f>
        <v>-</v>
      </c>
      <c r="S32" s="4"/>
    </row>
    <row r="33" spans="1:19" ht="14.25" customHeight="1" x14ac:dyDescent="0.2">
      <c r="A33" s="2"/>
      <c r="B33" s="2"/>
      <c r="C33" s="3"/>
      <c r="D33" s="4"/>
      <c r="E33" s="4"/>
      <c r="F33" s="774" t="s">
        <v>212</v>
      </c>
      <c r="G33" s="774"/>
      <c r="H33" s="774"/>
      <c r="I33" s="774"/>
      <c r="J33" s="496">
        <f>SUM(J30:J32)</f>
        <v>127.75</v>
      </c>
      <c r="K33" s="775" t="s">
        <v>803</v>
      </c>
      <c r="L33" s="776"/>
      <c r="M33" s="777"/>
      <c r="N33" s="818"/>
      <c r="O33" s="819"/>
      <c r="P33" s="819"/>
      <c r="Q33" s="819"/>
      <c r="R33" s="820"/>
      <c r="S33" s="4"/>
    </row>
    <row r="34" spans="1:19" ht="14.25" customHeight="1" x14ac:dyDescent="0.2">
      <c r="A34" s="2"/>
      <c r="B34" s="2"/>
      <c r="C34" s="3"/>
      <c r="D34" s="4"/>
      <c r="E34" s="4"/>
      <c r="F34" s="774" t="s">
        <v>920</v>
      </c>
      <c r="G34" s="774"/>
      <c r="H34" s="774"/>
      <c r="I34" s="774"/>
      <c r="J34" s="497">
        <f>Datos_residuos!C25</f>
        <v>202.17349999999999</v>
      </c>
      <c r="K34" s="775" t="s">
        <v>39</v>
      </c>
      <c r="L34" s="776"/>
      <c r="M34" s="777"/>
      <c r="N34" s="821"/>
      <c r="O34" s="822"/>
      <c r="P34" s="822"/>
      <c r="Q34" s="822"/>
      <c r="R34" s="823"/>
      <c r="S34" s="4"/>
    </row>
    <row r="35" spans="1:19" ht="14.25" customHeight="1" x14ac:dyDescent="0.2">
      <c r="A35" s="2"/>
      <c r="B35" s="2"/>
      <c r="C35" s="3"/>
      <c r="D35" s="4"/>
      <c r="E35" s="4"/>
      <c r="F35" s="774" t="s">
        <v>213</v>
      </c>
      <c r="G35" s="774"/>
      <c r="H35" s="774"/>
      <c r="I35" s="774"/>
      <c r="J35" s="497">
        <f>Datos_residuos!C26</f>
        <v>15</v>
      </c>
      <c r="K35" s="775" t="s">
        <v>214</v>
      </c>
      <c r="L35" s="776"/>
      <c r="M35" s="777"/>
      <c r="N35" s="824"/>
      <c r="O35" s="825"/>
      <c r="P35" s="825"/>
      <c r="Q35" s="825"/>
      <c r="R35" s="826"/>
      <c r="S35" s="4"/>
    </row>
    <row r="36" spans="1:19" x14ac:dyDescent="0.2">
      <c r="A36" s="2"/>
      <c r="B36" s="2"/>
      <c r="C36" s="3"/>
      <c r="D36" s="4"/>
      <c r="E36" s="4"/>
      <c r="F36" s="4"/>
      <c r="G36" s="4"/>
      <c r="H36" s="4"/>
      <c r="I36" s="4"/>
      <c r="J36" s="4"/>
      <c r="K36" s="4"/>
      <c r="L36" s="4"/>
      <c r="M36" s="4"/>
      <c r="N36" s="4"/>
      <c r="O36" s="4"/>
      <c r="P36" s="4"/>
      <c r="Q36" s="4"/>
      <c r="R36" s="4"/>
      <c r="S36" s="4"/>
    </row>
    <row r="37" spans="1:19" x14ac:dyDescent="0.2">
      <c r="A37" s="2"/>
      <c r="B37" s="2"/>
      <c r="C37" s="3"/>
      <c r="D37" s="4"/>
      <c r="E37" s="4"/>
      <c r="F37" s="4"/>
      <c r="G37" s="4"/>
      <c r="H37" s="4"/>
      <c r="I37" s="4"/>
      <c r="J37" s="4"/>
      <c r="K37" s="4"/>
      <c r="L37" s="4"/>
      <c r="M37" s="4"/>
      <c r="N37" s="4"/>
      <c r="O37" s="4"/>
      <c r="P37" s="4"/>
      <c r="Q37" s="4"/>
      <c r="R37" s="4"/>
      <c r="S37" s="4"/>
    </row>
    <row r="38" spans="1:19" ht="20.100000000000001" customHeight="1" x14ac:dyDescent="0.2">
      <c r="A38" s="2"/>
      <c r="B38" s="2"/>
      <c r="C38" s="3"/>
      <c r="D38" s="4"/>
      <c r="E38" s="807" t="s">
        <v>231</v>
      </c>
      <c r="F38" s="796" t="s">
        <v>2</v>
      </c>
      <c r="G38" s="796"/>
      <c r="H38" s="796"/>
      <c r="I38" s="796"/>
      <c r="J38" s="816" t="s">
        <v>234</v>
      </c>
      <c r="K38" s="816"/>
      <c r="L38" s="816"/>
      <c r="M38" s="816"/>
      <c r="N38" s="816"/>
      <c r="O38" s="816"/>
      <c r="P38" s="816"/>
      <c r="Q38" s="816"/>
      <c r="R38" s="816"/>
      <c r="S38" s="4"/>
    </row>
    <row r="39" spans="1:19" ht="20.100000000000001" customHeight="1" x14ac:dyDescent="0.2">
      <c r="A39" s="2"/>
      <c r="B39" s="2"/>
      <c r="C39" s="3"/>
      <c r="D39" s="4"/>
      <c r="E39" s="807"/>
      <c r="F39" s="796" t="s">
        <v>3</v>
      </c>
      <c r="G39" s="796"/>
      <c r="H39" s="796"/>
      <c r="I39" s="796"/>
      <c r="J39" s="816" t="s">
        <v>235</v>
      </c>
      <c r="K39" s="816"/>
      <c r="L39" s="816"/>
      <c r="M39" s="816"/>
      <c r="N39" s="816"/>
      <c r="O39" s="816"/>
      <c r="P39" s="816"/>
      <c r="Q39" s="816"/>
      <c r="R39" s="816"/>
      <c r="S39" s="4"/>
    </row>
    <row r="40" spans="1:19" ht="84.95" customHeight="1" x14ac:dyDescent="0.2">
      <c r="A40" s="2"/>
      <c r="B40" s="2"/>
      <c r="C40" s="3"/>
      <c r="D40" s="4"/>
      <c r="E40" s="4"/>
      <c r="F40" s="796" t="s">
        <v>50</v>
      </c>
      <c r="G40" s="796"/>
      <c r="H40" s="796"/>
      <c r="I40" s="796"/>
      <c r="J40" s="799" t="s">
        <v>236</v>
      </c>
      <c r="K40" s="799"/>
      <c r="L40" s="799"/>
      <c r="M40" s="799"/>
      <c r="N40" s="799"/>
      <c r="O40" s="799"/>
      <c r="P40" s="799"/>
      <c r="Q40" s="799"/>
      <c r="R40" s="799"/>
      <c r="S40" s="4"/>
    </row>
    <row r="41" spans="1:19" x14ac:dyDescent="0.2">
      <c r="A41" s="2"/>
      <c r="B41" s="2"/>
      <c r="C41" s="3"/>
      <c r="D41" s="4"/>
      <c r="E41" s="4"/>
      <c r="F41" s="4"/>
      <c r="G41" s="4"/>
      <c r="H41" s="4"/>
      <c r="I41" s="4"/>
      <c r="J41" s="4"/>
      <c r="K41" s="4"/>
      <c r="L41" s="4"/>
      <c r="M41" s="4"/>
      <c r="N41" s="4"/>
      <c r="O41" s="4"/>
      <c r="P41" s="4"/>
      <c r="Q41" s="4"/>
      <c r="R41" s="4"/>
      <c r="S41" s="4"/>
    </row>
    <row r="42" spans="1:19" ht="15" x14ac:dyDescent="0.2">
      <c r="A42" s="2"/>
      <c r="B42" s="2"/>
      <c r="C42" s="3"/>
      <c r="D42" s="4"/>
      <c r="E42" s="4"/>
      <c r="F42" s="772" t="s">
        <v>20</v>
      </c>
      <c r="G42" s="772"/>
      <c r="H42" s="772"/>
      <c r="I42" s="772"/>
      <c r="J42" s="772"/>
      <c r="K42" s="772"/>
      <c r="L42" s="772"/>
      <c r="M42" s="772"/>
      <c r="N42" s="772"/>
      <c r="O42" s="772"/>
      <c r="P42" s="772"/>
      <c r="Q42" s="772"/>
      <c r="R42" s="772"/>
      <c r="S42" s="4"/>
    </row>
    <row r="43" spans="1:19" ht="9.9499999999999993" customHeight="1" x14ac:dyDescent="0.2">
      <c r="A43" s="2"/>
      <c r="B43" s="2"/>
      <c r="C43" s="3"/>
      <c r="D43" s="4"/>
      <c r="E43" s="4"/>
      <c r="F43" s="4"/>
      <c r="G43" s="4"/>
      <c r="H43" s="4"/>
      <c r="I43" s="4"/>
      <c r="J43" s="4"/>
      <c r="K43" s="4"/>
      <c r="L43" s="4"/>
      <c r="M43" s="4"/>
      <c r="N43" s="4"/>
      <c r="O43" s="4"/>
      <c r="P43" s="4"/>
      <c r="Q43" s="4"/>
      <c r="R43" s="4"/>
      <c r="S43" s="4"/>
    </row>
    <row r="44" spans="1:19" x14ac:dyDescent="0.2">
      <c r="A44" s="2"/>
      <c r="B44" s="2"/>
      <c r="C44" s="3"/>
      <c r="D44" s="4"/>
      <c r="E44" s="4"/>
      <c r="F44" s="427" t="s">
        <v>228</v>
      </c>
      <c r="G44" s="4"/>
      <c r="H44" s="4"/>
      <c r="I44" s="4"/>
      <c r="J44" s="4"/>
      <c r="K44" s="4"/>
      <c r="L44" s="4"/>
      <c r="M44" s="4"/>
      <c r="N44" s="4"/>
      <c r="O44" s="57"/>
      <c r="P44" s="4"/>
      <c r="Q44" s="4"/>
      <c r="R44" s="4"/>
      <c r="S44" s="4"/>
    </row>
    <row r="45" spans="1:19" x14ac:dyDescent="0.2">
      <c r="A45" s="2"/>
      <c r="B45" s="2"/>
      <c r="C45" s="3"/>
      <c r="D45" s="4"/>
      <c r="E45" s="4"/>
      <c r="F45" s="57" t="s">
        <v>943</v>
      </c>
      <c r="G45" s="4"/>
      <c r="H45" s="4"/>
      <c r="I45" s="4"/>
      <c r="J45" s="4"/>
      <c r="K45" s="4"/>
      <c r="L45" s="4"/>
      <c r="M45" s="4"/>
      <c r="N45" s="4"/>
      <c r="O45" s="57"/>
      <c r="P45" s="4"/>
      <c r="Q45" s="4"/>
      <c r="R45" s="4"/>
      <c r="S45" s="4"/>
    </row>
    <row r="46" spans="1:19" x14ac:dyDescent="0.2">
      <c r="A46" s="2"/>
      <c r="B46" s="2"/>
      <c r="C46" s="3"/>
      <c r="D46" s="4"/>
      <c r="E46" s="4"/>
      <c r="F46" s="4"/>
      <c r="G46" s="17"/>
      <c r="H46" s="4"/>
      <c r="I46" s="4"/>
      <c r="J46" s="4"/>
      <c r="K46" s="4"/>
      <c r="L46" s="4"/>
      <c r="M46" s="4"/>
      <c r="N46" s="4"/>
      <c r="O46" s="57"/>
      <c r="P46" s="4"/>
      <c r="Q46" s="4"/>
      <c r="R46" s="4"/>
      <c r="S46" s="4"/>
    </row>
    <row r="47" spans="1:19" ht="27" customHeight="1" x14ac:dyDescent="0.2">
      <c r="A47" s="2"/>
      <c r="B47" s="2"/>
      <c r="C47" s="3"/>
      <c r="D47" s="4"/>
      <c r="E47" s="4"/>
      <c r="F47" s="797" t="s">
        <v>201</v>
      </c>
      <c r="G47" s="797"/>
      <c r="H47" s="797"/>
      <c r="I47" s="70" t="s">
        <v>944</v>
      </c>
      <c r="J47" s="70" t="s">
        <v>229</v>
      </c>
      <c r="K47" s="797" t="s">
        <v>140</v>
      </c>
      <c r="L47" s="797"/>
      <c r="M47" s="797"/>
      <c r="N47" s="797" t="s">
        <v>200</v>
      </c>
      <c r="O47" s="797"/>
      <c r="P47" s="797"/>
      <c r="Q47" s="797"/>
      <c r="R47" s="797"/>
      <c r="S47" s="4"/>
    </row>
    <row r="48" spans="1:19" ht="14.25" customHeight="1" x14ac:dyDescent="0.2">
      <c r="A48" s="2"/>
      <c r="B48" s="2"/>
      <c r="C48" s="3"/>
      <c r="D48" s="4"/>
      <c r="E48" s="4"/>
      <c r="F48" s="778" t="s">
        <v>205</v>
      </c>
      <c r="G48" s="778"/>
      <c r="H48" s="778"/>
      <c r="I48" s="544" t="s">
        <v>945</v>
      </c>
      <c r="J48" s="544">
        <v>150</v>
      </c>
      <c r="K48" s="778" t="s">
        <v>230</v>
      </c>
      <c r="L48" s="778"/>
      <c r="M48" s="778"/>
      <c r="N48" s="808" t="s">
        <v>224</v>
      </c>
      <c r="O48" s="808"/>
      <c r="P48" s="808"/>
      <c r="Q48" s="808"/>
      <c r="R48" s="808"/>
      <c r="S48" s="4"/>
    </row>
    <row r="49" spans="1:19" ht="14.25" customHeight="1" x14ac:dyDescent="0.2">
      <c r="A49" s="2"/>
      <c r="B49" s="2"/>
      <c r="C49" s="3"/>
      <c r="D49" s="4"/>
      <c r="E49" s="4"/>
      <c r="F49" s="778" t="s">
        <v>207</v>
      </c>
      <c r="G49" s="778"/>
      <c r="H49" s="778"/>
      <c r="I49" s="544" t="s">
        <v>945</v>
      </c>
      <c r="J49" s="544">
        <v>150</v>
      </c>
      <c r="K49" s="778" t="s">
        <v>230</v>
      </c>
      <c r="L49" s="778"/>
      <c r="M49" s="778"/>
      <c r="N49" s="808" t="s">
        <v>225</v>
      </c>
      <c r="O49" s="808"/>
      <c r="P49" s="808"/>
      <c r="Q49" s="808"/>
      <c r="R49" s="808"/>
      <c r="S49" s="4"/>
    </row>
    <row r="50" spans="1:19" ht="14.25" customHeight="1" x14ac:dyDescent="0.2">
      <c r="A50" s="2"/>
      <c r="B50" s="2"/>
      <c r="C50" s="3"/>
      <c r="D50" s="4"/>
      <c r="E50" s="4"/>
      <c r="F50" s="778" t="s">
        <v>208</v>
      </c>
      <c r="G50" s="778"/>
      <c r="H50" s="778"/>
      <c r="I50" s="544"/>
      <c r="J50" s="504"/>
      <c r="K50" s="778" t="s">
        <v>230</v>
      </c>
      <c r="L50" s="778"/>
      <c r="M50" s="778"/>
      <c r="N50" s="809" t="s">
        <v>226</v>
      </c>
      <c r="O50" s="809"/>
      <c r="P50" s="809"/>
      <c r="Q50" s="809"/>
      <c r="R50" s="809"/>
      <c r="S50" s="4"/>
    </row>
    <row r="51" spans="1:19" ht="14.25" customHeight="1" x14ac:dyDescent="0.2">
      <c r="A51" s="2"/>
      <c r="B51" s="2"/>
      <c r="C51" s="3"/>
      <c r="D51" s="4"/>
      <c r="E51" s="4"/>
      <c r="F51" s="810" t="s">
        <v>209</v>
      </c>
      <c r="G51" s="810"/>
      <c r="H51" s="810"/>
      <c r="I51" s="810"/>
      <c r="J51" s="810"/>
      <c r="K51" s="810"/>
      <c r="L51" s="810"/>
      <c r="M51" s="810"/>
      <c r="N51" s="810"/>
      <c r="O51" s="810"/>
      <c r="P51" s="817">
        <v>15</v>
      </c>
      <c r="Q51" s="817"/>
      <c r="R51" s="494" t="s">
        <v>458</v>
      </c>
      <c r="S51" s="4"/>
    </row>
    <row r="52" spans="1:19" x14ac:dyDescent="0.2">
      <c r="A52" s="2"/>
      <c r="B52" s="2"/>
      <c r="C52" s="3"/>
      <c r="D52" s="4"/>
      <c r="E52" s="4"/>
      <c r="F52" s="17"/>
      <c r="G52" s="4"/>
      <c r="H52" s="4"/>
      <c r="I52" s="4"/>
      <c r="J52" s="4"/>
      <c r="K52" s="4"/>
      <c r="L52" s="4"/>
      <c r="M52" s="4"/>
      <c r="N52" s="4"/>
      <c r="O52" s="57"/>
      <c r="P52" s="57"/>
      <c r="Q52" s="57"/>
      <c r="R52" s="57"/>
      <c r="S52" s="4"/>
    </row>
    <row r="53" spans="1:19" ht="15" x14ac:dyDescent="0.2">
      <c r="A53" s="2"/>
      <c r="B53" s="2"/>
      <c r="C53" s="3"/>
      <c r="D53" s="4"/>
      <c r="E53" s="4"/>
      <c r="F53" s="772" t="s">
        <v>36</v>
      </c>
      <c r="G53" s="772"/>
      <c r="H53" s="772"/>
      <c r="I53" s="772"/>
      <c r="J53" s="772"/>
      <c r="K53" s="772"/>
      <c r="L53" s="772"/>
      <c r="M53" s="772"/>
      <c r="N53" s="772"/>
      <c r="O53" s="772"/>
      <c r="P53" s="772"/>
      <c r="Q53" s="772"/>
      <c r="R53" s="772"/>
      <c r="S53" s="4"/>
    </row>
    <row r="54" spans="1:19" x14ac:dyDescent="0.2">
      <c r="A54" s="2"/>
      <c r="B54" s="2"/>
      <c r="C54" s="3"/>
      <c r="D54" s="4"/>
      <c r="E54" s="4"/>
      <c r="F54" s="4"/>
      <c r="G54" s="4"/>
      <c r="H54" s="4"/>
      <c r="I54" s="4"/>
      <c r="J54" s="4"/>
      <c r="K54" s="4"/>
      <c r="L54" s="4"/>
      <c r="M54" s="4"/>
      <c r="N54" s="4"/>
      <c r="O54" s="4"/>
      <c r="P54" s="4"/>
      <c r="Q54" s="4"/>
      <c r="R54" s="4"/>
      <c r="S54" s="4"/>
    </row>
    <row r="55" spans="1:19" ht="27" x14ac:dyDescent="0.2">
      <c r="A55" s="2"/>
      <c r="B55" s="2"/>
      <c r="C55" s="3"/>
      <c r="D55" s="4"/>
      <c r="E55" s="4"/>
      <c r="F55" s="797" t="s">
        <v>85</v>
      </c>
      <c r="G55" s="797"/>
      <c r="H55" s="797"/>
      <c r="I55" s="797"/>
      <c r="J55" s="70" t="s">
        <v>3</v>
      </c>
      <c r="K55" s="803" t="s">
        <v>140</v>
      </c>
      <c r="L55" s="804"/>
      <c r="M55" s="805"/>
      <c r="N55" s="803" t="s">
        <v>3</v>
      </c>
      <c r="O55" s="805"/>
      <c r="P55" s="803" t="s">
        <v>140</v>
      </c>
      <c r="Q55" s="805"/>
      <c r="R55" s="70" t="s">
        <v>210</v>
      </c>
      <c r="S55" s="4"/>
    </row>
    <row r="56" spans="1:19" ht="22.5" customHeight="1" x14ac:dyDescent="0.2">
      <c r="A56" s="2"/>
      <c r="B56" s="2"/>
      <c r="C56" s="3"/>
      <c r="D56" s="4"/>
      <c r="E56" s="4"/>
      <c r="F56" s="778" t="s">
        <v>205</v>
      </c>
      <c r="G56" s="778"/>
      <c r="H56" s="778"/>
      <c r="I56" s="778"/>
      <c r="J56" s="495">
        <f>Datos_residuos!C48</f>
        <v>54.75</v>
      </c>
      <c r="K56" s="781" t="s">
        <v>803</v>
      </c>
      <c r="L56" s="782"/>
      <c r="M56" s="783"/>
      <c r="N56" s="793">
        <f>Datos_residuos!E48</f>
        <v>67.342500000000001</v>
      </c>
      <c r="O56" s="794"/>
      <c r="P56" s="779" t="s">
        <v>1087</v>
      </c>
      <c r="Q56" s="780"/>
      <c r="R56" s="344" t="str">
        <f>Datos_residuos!G48</f>
        <v>Venta a empresas como materia prima</v>
      </c>
      <c r="S56" s="4"/>
    </row>
    <row r="57" spans="1:19" ht="22.5" customHeight="1" x14ac:dyDescent="0.2">
      <c r="A57" s="2"/>
      <c r="B57" s="2"/>
      <c r="C57" s="3"/>
      <c r="D57" s="4"/>
      <c r="E57" s="4"/>
      <c r="F57" s="778" t="s">
        <v>207</v>
      </c>
      <c r="G57" s="778"/>
      <c r="H57" s="778"/>
      <c r="I57" s="778"/>
      <c r="J57" s="495">
        <f>Datos_residuos!C49</f>
        <v>54.75</v>
      </c>
      <c r="K57" s="781" t="s">
        <v>803</v>
      </c>
      <c r="L57" s="782"/>
      <c r="M57" s="783"/>
      <c r="N57" s="793">
        <f>Datos_residuos!E49</f>
        <v>101.12325</v>
      </c>
      <c r="O57" s="794"/>
      <c r="P57" s="779" t="s">
        <v>1087</v>
      </c>
      <c r="Q57" s="780"/>
      <c r="R57" s="344" t="str">
        <f>Datos_residuos!G49</f>
        <v>Exportación</v>
      </c>
      <c r="S57" s="4"/>
    </row>
    <row r="58" spans="1:19" ht="22.5" customHeight="1" x14ac:dyDescent="0.2">
      <c r="A58" s="2"/>
      <c r="B58" s="2"/>
      <c r="C58" s="3"/>
      <c r="D58" s="4"/>
      <c r="E58" s="4"/>
      <c r="F58" s="778" t="s">
        <v>208</v>
      </c>
      <c r="G58" s="778"/>
      <c r="H58" s="778"/>
      <c r="I58" s="778"/>
      <c r="J58" s="495" t="str">
        <f>Datos_residuos!C50</f>
        <v>-</v>
      </c>
      <c r="K58" s="781" t="s">
        <v>803</v>
      </c>
      <c r="L58" s="782"/>
      <c r="M58" s="783"/>
      <c r="N58" s="793" t="str">
        <f>Datos_residuos!E50</f>
        <v>-</v>
      </c>
      <c r="O58" s="794"/>
      <c r="P58" s="779" t="s">
        <v>1087</v>
      </c>
      <c r="Q58" s="780"/>
      <c r="R58" s="344" t="str">
        <f>Datos_residuos!G50</f>
        <v>Valorización energética</v>
      </c>
      <c r="S58" s="4"/>
    </row>
    <row r="59" spans="1:19" ht="14.25" customHeight="1" x14ac:dyDescent="0.2">
      <c r="A59" s="2"/>
      <c r="B59" s="2"/>
      <c r="C59" s="3"/>
      <c r="D59" s="4"/>
      <c r="E59" s="4"/>
      <c r="F59" s="774" t="s">
        <v>212</v>
      </c>
      <c r="G59" s="774"/>
      <c r="H59" s="774"/>
      <c r="I59" s="774"/>
      <c r="J59" s="496">
        <f>SUM(J56:J58)</f>
        <v>109.5</v>
      </c>
      <c r="K59" s="775" t="s">
        <v>803</v>
      </c>
      <c r="L59" s="776"/>
      <c r="M59" s="777"/>
      <c r="N59" s="784"/>
      <c r="O59" s="785"/>
      <c r="P59" s="785"/>
      <c r="Q59" s="785"/>
      <c r="R59" s="786"/>
      <c r="S59" s="4"/>
    </row>
    <row r="60" spans="1:19" ht="14.25" customHeight="1" x14ac:dyDescent="0.2">
      <c r="A60" s="2"/>
      <c r="B60" s="2"/>
      <c r="C60" s="3"/>
      <c r="D60" s="4"/>
      <c r="E60" s="4"/>
      <c r="F60" s="774" t="s">
        <v>920</v>
      </c>
      <c r="G60" s="774"/>
      <c r="H60" s="774"/>
      <c r="I60" s="774"/>
      <c r="J60" s="497">
        <f>Datos_residuos!C52</f>
        <v>168.46575000000001</v>
      </c>
      <c r="K60" s="775" t="s">
        <v>39</v>
      </c>
      <c r="L60" s="776"/>
      <c r="M60" s="777"/>
      <c r="N60" s="787"/>
      <c r="O60" s="788"/>
      <c r="P60" s="788"/>
      <c r="Q60" s="788"/>
      <c r="R60" s="789"/>
      <c r="S60" s="4"/>
    </row>
    <row r="61" spans="1:19" ht="14.25" customHeight="1" x14ac:dyDescent="0.2">
      <c r="A61" s="2"/>
      <c r="B61" s="2"/>
      <c r="C61" s="3"/>
      <c r="D61" s="4"/>
      <c r="E61" s="4"/>
      <c r="F61" s="774" t="s">
        <v>213</v>
      </c>
      <c r="G61" s="774"/>
      <c r="H61" s="774"/>
      <c r="I61" s="774"/>
      <c r="J61" s="497">
        <f>P51</f>
        <v>15</v>
      </c>
      <c r="K61" s="775" t="s">
        <v>214</v>
      </c>
      <c r="L61" s="776"/>
      <c r="M61" s="777"/>
      <c r="N61" s="790"/>
      <c r="O61" s="791"/>
      <c r="P61" s="791"/>
      <c r="Q61" s="791"/>
      <c r="R61" s="792"/>
      <c r="S61" s="4"/>
    </row>
    <row r="62" spans="1:19" x14ac:dyDescent="0.2">
      <c r="A62" s="2"/>
      <c r="B62" s="2"/>
      <c r="C62" s="3"/>
      <c r="D62" s="4"/>
      <c r="E62" s="4"/>
      <c r="F62" s="4"/>
      <c r="G62" s="4"/>
      <c r="H62" s="4"/>
      <c r="I62" s="4"/>
      <c r="J62" s="4"/>
      <c r="K62" s="4"/>
      <c r="L62" s="4"/>
      <c r="M62" s="4"/>
      <c r="N62" s="4"/>
      <c r="O62" s="4"/>
      <c r="P62" s="4"/>
      <c r="Q62" s="4"/>
      <c r="R62" s="4"/>
      <c r="S62" s="4"/>
    </row>
    <row r="63" spans="1:19" x14ac:dyDescent="0.2">
      <c r="A63" s="2"/>
      <c r="B63" s="2"/>
      <c r="C63" s="3"/>
      <c r="D63" s="4"/>
      <c r="E63" s="4"/>
      <c r="F63" s="4"/>
      <c r="G63" s="4"/>
      <c r="H63" s="4"/>
      <c r="I63" s="4"/>
      <c r="J63" s="4"/>
      <c r="K63" s="4"/>
      <c r="L63" s="4"/>
      <c r="M63" s="4"/>
      <c r="N63" s="4"/>
      <c r="O63" s="4"/>
      <c r="P63" s="4"/>
      <c r="Q63" s="4"/>
      <c r="R63" s="4"/>
      <c r="S63" s="4"/>
    </row>
    <row r="64" spans="1:19" ht="20.100000000000001" customHeight="1" x14ac:dyDescent="0.2">
      <c r="A64" s="2"/>
      <c r="B64" s="2"/>
      <c r="C64" s="3"/>
      <c r="D64" s="4"/>
      <c r="E64" s="795" t="s">
        <v>232</v>
      </c>
      <c r="F64" s="796" t="s">
        <v>2</v>
      </c>
      <c r="G64" s="796"/>
      <c r="H64" s="796"/>
      <c r="I64" s="796"/>
      <c r="J64" s="799" t="s">
        <v>237</v>
      </c>
      <c r="K64" s="799"/>
      <c r="L64" s="799"/>
      <c r="M64" s="799"/>
      <c r="N64" s="799"/>
      <c r="O64" s="799"/>
      <c r="P64" s="799"/>
      <c r="Q64" s="799"/>
      <c r="R64" s="799"/>
      <c r="S64" s="4"/>
    </row>
    <row r="65" spans="1:19" ht="20.100000000000001" customHeight="1" x14ac:dyDescent="0.2">
      <c r="A65" s="2"/>
      <c r="B65" s="2"/>
      <c r="C65" s="3"/>
      <c r="D65" s="4"/>
      <c r="E65" s="795"/>
      <c r="F65" s="796" t="s">
        <v>3</v>
      </c>
      <c r="G65" s="796"/>
      <c r="H65" s="796"/>
      <c r="I65" s="796"/>
      <c r="J65" s="799" t="s">
        <v>238</v>
      </c>
      <c r="K65" s="799"/>
      <c r="L65" s="799"/>
      <c r="M65" s="799"/>
      <c r="N65" s="799"/>
      <c r="O65" s="799"/>
      <c r="P65" s="799"/>
      <c r="Q65" s="799"/>
      <c r="R65" s="799"/>
      <c r="S65" s="4"/>
    </row>
    <row r="66" spans="1:19" ht="81" customHeight="1" x14ac:dyDescent="0.2">
      <c r="A66" s="2"/>
      <c r="B66" s="2"/>
      <c r="C66" s="3"/>
      <c r="D66" s="4"/>
      <c r="E66" s="4"/>
      <c r="F66" s="796" t="s">
        <v>50</v>
      </c>
      <c r="G66" s="796"/>
      <c r="H66" s="796"/>
      <c r="I66" s="796"/>
      <c r="J66" s="799" t="s">
        <v>239</v>
      </c>
      <c r="K66" s="799"/>
      <c r="L66" s="799"/>
      <c r="M66" s="799"/>
      <c r="N66" s="799"/>
      <c r="O66" s="799"/>
      <c r="P66" s="799"/>
      <c r="Q66" s="799"/>
      <c r="R66" s="799"/>
      <c r="S66" s="4"/>
    </row>
    <row r="67" spans="1:19" x14ac:dyDescent="0.2">
      <c r="A67" s="2"/>
      <c r="B67" s="2"/>
      <c r="C67" s="3"/>
      <c r="D67" s="4"/>
      <c r="E67" s="4"/>
      <c r="F67" s="4"/>
      <c r="G67" s="4"/>
      <c r="H67" s="4"/>
      <c r="I67" s="4"/>
      <c r="J67" s="4"/>
      <c r="K67" s="4"/>
      <c r="L67" s="4"/>
      <c r="M67" s="4"/>
      <c r="N67" s="4"/>
      <c r="O67" s="4"/>
      <c r="P67" s="4"/>
      <c r="Q67" s="4"/>
      <c r="R67" s="4"/>
      <c r="S67" s="4"/>
    </row>
    <row r="68" spans="1:19" ht="15" x14ac:dyDescent="0.2">
      <c r="A68" s="2"/>
      <c r="B68" s="2"/>
      <c r="C68" s="3"/>
      <c r="D68" s="4"/>
      <c r="E68" s="4"/>
      <c r="F68" s="772" t="s">
        <v>20</v>
      </c>
      <c r="G68" s="772"/>
      <c r="H68" s="772"/>
      <c r="I68" s="772"/>
      <c r="J68" s="772"/>
      <c r="K68" s="772"/>
      <c r="L68" s="772"/>
      <c r="M68" s="772"/>
      <c r="N68" s="772"/>
      <c r="O68" s="772"/>
      <c r="P68" s="772"/>
      <c r="Q68" s="772"/>
      <c r="R68" s="772"/>
      <c r="S68" s="4"/>
    </row>
    <row r="69" spans="1:19" ht="9.9499999999999993" customHeight="1" x14ac:dyDescent="0.2">
      <c r="A69" s="2"/>
      <c r="B69" s="2"/>
      <c r="C69" s="3"/>
      <c r="D69" s="4"/>
      <c r="E69" s="4"/>
      <c r="F69" s="4"/>
      <c r="G69" s="4"/>
      <c r="H69" s="4"/>
      <c r="I69" s="4"/>
      <c r="J69" s="4"/>
      <c r="K69" s="4"/>
      <c r="L69" s="4"/>
      <c r="M69" s="4"/>
      <c r="N69" s="4"/>
      <c r="O69" s="4"/>
      <c r="P69" s="4"/>
      <c r="Q69" s="4"/>
      <c r="R69" s="4"/>
      <c r="S69" s="4"/>
    </row>
    <row r="70" spans="1:19" x14ac:dyDescent="0.2">
      <c r="A70" s="2"/>
      <c r="B70" s="2"/>
      <c r="C70" s="3"/>
      <c r="D70" s="4"/>
      <c r="E70" s="4"/>
      <c r="F70" s="427" t="s">
        <v>228</v>
      </c>
      <c r="G70" s="4"/>
      <c r="H70" s="4"/>
      <c r="I70" s="4"/>
      <c r="J70" s="4"/>
      <c r="K70" s="4"/>
      <c r="L70" s="4"/>
      <c r="M70" s="4"/>
      <c r="N70" s="4"/>
      <c r="O70" s="57"/>
      <c r="P70" s="4"/>
      <c r="Q70" s="4"/>
      <c r="R70" s="4"/>
      <c r="S70" s="4"/>
    </row>
    <row r="71" spans="1:19" x14ac:dyDescent="0.2">
      <c r="A71" s="2"/>
      <c r="B71" s="2"/>
      <c r="C71" s="3"/>
      <c r="D71" s="4"/>
      <c r="E71" s="4"/>
      <c r="F71" s="57" t="s">
        <v>943</v>
      </c>
      <c r="G71" s="4"/>
      <c r="H71" s="4"/>
      <c r="I71" s="4"/>
      <c r="J71" s="4"/>
      <c r="K71" s="4"/>
      <c r="L71" s="4"/>
      <c r="M71" s="4"/>
      <c r="N71" s="4"/>
      <c r="O71" s="57"/>
      <c r="P71" s="4"/>
      <c r="Q71" s="4"/>
      <c r="R71" s="4"/>
      <c r="S71" s="4"/>
    </row>
    <row r="72" spans="1:19" x14ac:dyDescent="0.2">
      <c r="A72" s="2"/>
      <c r="B72" s="2"/>
      <c r="C72" s="3"/>
      <c r="D72" s="4"/>
      <c r="E72" s="4"/>
      <c r="F72" s="4"/>
      <c r="G72" s="17"/>
      <c r="H72" s="4"/>
      <c r="I72" s="4"/>
      <c r="J72" s="4"/>
      <c r="K72" s="4"/>
      <c r="L72" s="4"/>
      <c r="M72" s="4"/>
      <c r="N72" s="4"/>
      <c r="O72" s="57"/>
      <c r="P72" s="4"/>
      <c r="Q72" s="4"/>
      <c r="R72" s="4"/>
      <c r="S72" s="4"/>
    </row>
    <row r="73" spans="1:19" ht="40.5" customHeight="1" x14ac:dyDescent="0.2">
      <c r="A73" s="2"/>
      <c r="B73" s="2"/>
      <c r="C73" s="3"/>
      <c r="D73" s="4"/>
      <c r="E73" s="4"/>
      <c r="F73" s="797" t="s">
        <v>946</v>
      </c>
      <c r="G73" s="797"/>
      <c r="H73" s="797"/>
      <c r="I73" s="70" t="s">
        <v>944</v>
      </c>
      <c r="J73" s="70" t="s">
        <v>229</v>
      </c>
      <c r="K73" s="797" t="s">
        <v>140</v>
      </c>
      <c r="L73" s="797"/>
      <c r="M73" s="797"/>
      <c r="N73" s="797" t="s">
        <v>200</v>
      </c>
      <c r="O73" s="797"/>
      <c r="P73" s="797"/>
      <c r="Q73" s="797"/>
      <c r="R73" s="797"/>
      <c r="S73" s="4"/>
    </row>
    <row r="74" spans="1:19" ht="14.25" customHeight="1" x14ac:dyDescent="0.2">
      <c r="A74" s="2"/>
      <c r="B74" s="2"/>
      <c r="C74" s="3"/>
      <c r="D74" s="4"/>
      <c r="E74" s="4"/>
      <c r="F74" s="800" t="s">
        <v>243</v>
      </c>
      <c r="G74" s="800" t="s">
        <v>243</v>
      </c>
      <c r="H74" s="800" t="s">
        <v>243</v>
      </c>
      <c r="I74" s="543" t="s">
        <v>1111</v>
      </c>
      <c r="J74" s="543">
        <v>23</v>
      </c>
      <c r="K74" s="798" t="s">
        <v>230</v>
      </c>
      <c r="L74" s="798"/>
      <c r="M74" s="798"/>
      <c r="N74" s="801" t="s">
        <v>226</v>
      </c>
      <c r="O74" s="801"/>
      <c r="P74" s="801"/>
      <c r="Q74" s="801"/>
      <c r="R74" s="801"/>
      <c r="S74" s="4"/>
    </row>
    <row r="75" spans="1:19" ht="14.25" customHeight="1" x14ac:dyDescent="0.2">
      <c r="A75" s="2"/>
      <c r="B75" s="2"/>
      <c r="C75" s="3"/>
      <c r="D75" s="4"/>
      <c r="E75" s="4"/>
      <c r="F75" s="800" t="s">
        <v>947</v>
      </c>
      <c r="G75" s="800" t="s">
        <v>947</v>
      </c>
      <c r="H75" s="800" t="s">
        <v>947</v>
      </c>
      <c r="I75" s="543"/>
      <c r="J75" s="507">
        <v>14</v>
      </c>
      <c r="K75" s="798" t="s">
        <v>230</v>
      </c>
      <c r="L75" s="798"/>
      <c r="M75" s="798"/>
      <c r="N75" s="802" t="s">
        <v>241</v>
      </c>
      <c r="O75" s="802"/>
      <c r="P75" s="802"/>
      <c r="Q75" s="802"/>
      <c r="R75" s="802"/>
      <c r="S75" s="4"/>
    </row>
    <row r="76" spans="1:19" x14ac:dyDescent="0.2">
      <c r="A76" s="2"/>
      <c r="B76" s="2"/>
      <c r="C76" s="3"/>
      <c r="D76" s="4"/>
      <c r="E76" s="4"/>
      <c r="F76" s="800" t="s">
        <v>948</v>
      </c>
      <c r="G76" s="800" t="s">
        <v>948</v>
      </c>
      <c r="H76" s="800" t="s">
        <v>948</v>
      </c>
      <c r="I76" s="543" t="s">
        <v>945</v>
      </c>
      <c r="J76" s="543">
        <v>55</v>
      </c>
      <c r="K76" s="798" t="s">
        <v>230</v>
      </c>
      <c r="L76" s="798"/>
      <c r="M76" s="798"/>
      <c r="N76" s="801" t="s">
        <v>227</v>
      </c>
      <c r="O76" s="801"/>
      <c r="P76" s="801"/>
      <c r="Q76" s="801"/>
      <c r="R76" s="801"/>
      <c r="S76" s="4"/>
    </row>
    <row r="77" spans="1:19" x14ac:dyDescent="0.2">
      <c r="A77" s="2"/>
      <c r="B77" s="2"/>
      <c r="C77" s="3"/>
      <c r="D77" s="4"/>
      <c r="E77" s="4"/>
      <c r="F77" s="800" t="s">
        <v>949</v>
      </c>
      <c r="G77" s="800" t="s">
        <v>949</v>
      </c>
      <c r="H77" s="800" t="s">
        <v>949</v>
      </c>
      <c r="I77" s="543"/>
      <c r="J77" s="507"/>
      <c r="K77" s="798" t="s">
        <v>230</v>
      </c>
      <c r="L77" s="798"/>
      <c r="M77" s="798"/>
      <c r="N77" s="802"/>
      <c r="O77" s="802"/>
      <c r="P77" s="802"/>
      <c r="Q77" s="802"/>
      <c r="R77" s="802"/>
      <c r="S77" s="4"/>
    </row>
    <row r="78" spans="1:19" x14ac:dyDescent="0.2">
      <c r="A78" s="2"/>
      <c r="B78" s="2"/>
      <c r="C78" s="3"/>
      <c r="D78" s="4"/>
      <c r="E78" s="4"/>
      <c r="F78" s="810" t="s">
        <v>209</v>
      </c>
      <c r="G78" s="810"/>
      <c r="H78" s="810"/>
      <c r="I78" s="810"/>
      <c r="J78" s="810"/>
      <c r="K78" s="810"/>
      <c r="L78" s="810"/>
      <c r="M78" s="810"/>
      <c r="N78" s="810"/>
      <c r="O78" s="810"/>
      <c r="P78" s="806">
        <v>100</v>
      </c>
      <c r="Q78" s="806"/>
      <c r="R78" s="387" t="s">
        <v>458</v>
      </c>
      <c r="S78" s="4"/>
    </row>
    <row r="79" spans="1:19" x14ac:dyDescent="0.2">
      <c r="A79" s="2"/>
      <c r="B79" s="2"/>
      <c r="C79" s="3"/>
      <c r="D79" s="4"/>
      <c r="E79" s="4"/>
      <c r="F79" s="17"/>
      <c r="G79" s="4"/>
      <c r="H79" s="4"/>
      <c r="I79" s="4"/>
      <c r="J79" s="4"/>
      <c r="K79" s="4"/>
      <c r="L79" s="4"/>
      <c r="M79" s="4"/>
      <c r="N79" s="4"/>
      <c r="O79" s="57"/>
      <c r="P79" s="57"/>
      <c r="Q79" s="57"/>
      <c r="R79" s="57"/>
      <c r="S79" s="4"/>
    </row>
    <row r="80" spans="1:19" ht="15" x14ac:dyDescent="0.2">
      <c r="A80" s="2"/>
      <c r="B80" s="2"/>
      <c r="C80" s="3"/>
      <c r="D80" s="4"/>
      <c r="E80" s="4"/>
      <c r="F80" s="772" t="s">
        <v>36</v>
      </c>
      <c r="G80" s="772"/>
      <c r="H80" s="772"/>
      <c r="I80" s="772"/>
      <c r="J80" s="772"/>
      <c r="K80" s="772"/>
      <c r="L80" s="772"/>
      <c r="M80" s="772"/>
      <c r="N80" s="772"/>
      <c r="O80" s="772"/>
      <c r="P80" s="772"/>
      <c r="Q80" s="772"/>
      <c r="R80" s="772"/>
      <c r="S80" s="4"/>
    </row>
    <row r="81" spans="1:19" x14ac:dyDescent="0.2">
      <c r="A81" s="2"/>
      <c r="B81" s="2"/>
      <c r="C81" s="3"/>
      <c r="D81" s="4"/>
      <c r="E81" s="4"/>
      <c r="F81" s="4"/>
      <c r="G81" s="4"/>
      <c r="H81" s="4"/>
      <c r="I81" s="4"/>
      <c r="J81" s="4"/>
      <c r="K81" s="4"/>
      <c r="L81" s="4"/>
      <c r="M81" s="4"/>
      <c r="N81" s="4"/>
      <c r="O81" s="4"/>
      <c r="P81" s="4"/>
      <c r="Q81" s="4"/>
      <c r="R81" s="4"/>
      <c r="S81" s="4"/>
    </row>
    <row r="82" spans="1:19" ht="27" x14ac:dyDescent="0.2">
      <c r="A82" s="2"/>
      <c r="B82" s="2"/>
      <c r="C82" s="3"/>
      <c r="D82" s="4"/>
      <c r="E82" s="4"/>
      <c r="F82" s="797" t="s">
        <v>85</v>
      </c>
      <c r="G82" s="797"/>
      <c r="H82" s="797"/>
      <c r="I82" s="797"/>
      <c r="J82" s="70" t="s">
        <v>3</v>
      </c>
      <c r="K82" s="803" t="s">
        <v>140</v>
      </c>
      <c r="L82" s="804"/>
      <c r="M82" s="805"/>
      <c r="N82" s="803" t="s">
        <v>3</v>
      </c>
      <c r="O82" s="805"/>
      <c r="P82" s="803" t="s">
        <v>140</v>
      </c>
      <c r="Q82" s="805"/>
      <c r="R82" s="70" t="s">
        <v>210</v>
      </c>
      <c r="S82" s="4"/>
    </row>
    <row r="83" spans="1:19" ht="22.5" customHeight="1" x14ac:dyDescent="0.2">
      <c r="A83" s="2"/>
      <c r="B83" s="2"/>
      <c r="C83" s="3"/>
      <c r="D83" s="4"/>
      <c r="E83" s="4"/>
      <c r="F83" s="778" t="str">
        <f>Datos_residuos!A76</f>
        <v>Llantas</v>
      </c>
      <c r="G83" s="778"/>
      <c r="H83" s="778"/>
      <c r="I83" s="778"/>
      <c r="J83" s="495">
        <f>Datos_residuos!C76</f>
        <v>8.3949999999999996</v>
      </c>
      <c r="K83" s="781" t="s">
        <v>803</v>
      </c>
      <c r="L83" s="782"/>
      <c r="M83" s="783"/>
      <c r="N83" s="793">
        <f>Datos_residuos!E76</f>
        <v>7.97525</v>
      </c>
      <c r="O83" s="794"/>
      <c r="P83" s="779" t="s">
        <v>1087</v>
      </c>
      <c r="Q83" s="780"/>
      <c r="R83" s="344" t="str">
        <f>Datos_residuos!G76</f>
        <v>Valorización energética</v>
      </c>
      <c r="S83" s="4"/>
    </row>
    <row r="84" spans="1:19" ht="33.75" x14ac:dyDescent="0.2">
      <c r="A84" s="2"/>
      <c r="B84" s="2"/>
      <c r="C84" s="3"/>
      <c r="D84" s="4"/>
      <c r="E84" s="4"/>
      <c r="F84" s="778" t="str">
        <f>Datos_residuos!A77</f>
        <v>Baterias</v>
      </c>
      <c r="G84" s="778"/>
      <c r="H84" s="778"/>
      <c r="I84" s="778"/>
      <c r="J84" s="495">
        <f>Datos_residuos!C77</f>
        <v>5.1100000000000003</v>
      </c>
      <c r="K84" s="781" t="s">
        <v>803</v>
      </c>
      <c r="L84" s="782"/>
      <c r="M84" s="783"/>
      <c r="N84" s="793">
        <f>Datos_residuos!E77</f>
        <v>9.964500000000001</v>
      </c>
      <c r="O84" s="794"/>
      <c r="P84" s="779" t="s">
        <v>1087</v>
      </c>
      <c r="Q84" s="780"/>
      <c r="R84" s="344" t="str">
        <f>Datos_residuos!G77</f>
        <v>Recuperación de materiales valiosos</v>
      </c>
      <c r="S84" s="4"/>
    </row>
    <row r="85" spans="1:19" x14ac:dyDescent="0.2">
      <c r="A85" s="2"/>
      <c r="B85" s="2"/>
      <c r="C85" s="3"/>
      <c r="D85" s="4"/>
      <c r="E85" s="4"/>
      <c r="F85" s="778" t="str">
        <f>Datos_residuos!A78</f>
        <v>Residuos electrónicos</v>
      </c>
      <c r="G85" s="778"/>
      <c r="H85" s="778"/>
      <c r="I85" s="778"/>
      <c r="J85" s="495">
        <f>Datos_residuos!C78</f>
        <v>20.074999999999999</v>
      </c>
      <c r="K85" s="781" t="s">
        <v>803</v>
      </c>
      <c r="L85" s="782"/>
      <c r="M85" s="783"/>
      <c r="N85" s="793">
        <f>Datos_residuos!E78</f>
        <v>37.138750000000002</v>
      </c>
      <c r="O85" s="794"/>
      <c r="P85" s="779" t="s">
        <v>1087</v>
      </c>
      <c r="Q85" s="780"/>
      <c r="R85" s="344" t="str">
        <f>Datos_residuos!G78</f>
        <v>Otros procesos</v>
      </c>
      <c r="S85" s="4"/>
    </row>
    <row r="86" spans="1:19" x14ac:dyDescent="0.2">
      <c r="A86" s="2"/>
      <c r="B86" s="2"/>
      <c r="C86" s="3"/>
      <c r="D86" s="4"/>
      <c r="E86" s="4"/>
      <c r="F86" s="778" t="str">
        <f>Datos_residuos!A79</f>
        <v>Plástico de invernadero</v>
      </c>
      <c r="G86" s="778"/>
      <c r="H86" s="778"/>
      <c r="I86" s="778"/>
      <c r="J86" s="495" t="str">
        <f>Datos_residuos!C79</f>
        <v>-</v>
      </c>
      <c r="K86" s="781" t="s">
        <v>803</v>
      </c>
      <c r="L86" s="782"/>
      <c r="M86" s="783"/>
      <c r="N86" s="793" t="str">
        <f>Datos_residuos!E79</f>
        <v>-</v>
      </c>
      <c r="O86" s="794"/>
      <c r="P86" s="779" t="s">
        <v>1087</v>
      </c>
      <c r="Q86" s="780"/>
      <c r="R86" s="344">
        <f>Datos_residuos!G79</f>
        <v>0</v>
      </c>
      <c r="S86" s="4"/>
    </row>
    <row r="87" spans="1:19" ht="14.25" customHeight="1" x14ac:dyDescent="0.2">
      <c r="A87" s="2"/>
      <c r="B87" s="2"/>
      <c r="C87" s="3"/>
      <c r="D87" s="4"/>
      <c r="E87" s="4"/>
      <c r="F87" s="774" t="s">
        <v>212</v>
      </c>
      <c r="G87" s="774"/>
      <c r="H87" s="774"/>
      <c r="I87" s="774"/>
      <c r="J87" s="498">
        <f>Datos_residuos!C80</f>
        <v>33.58</v>
      </c>
      <c r="K87" s="775" t="s">
        <v>803</v>
      </c>
      <c r="L87" s="776"/>
      <c r="M87" s="777"/>
      <c r="N87" s="784"/>
      <c r="O87" s="785"/>
      <c r="P87" s="785"/>
      <c r="Q87" s="785"/>
      <c r="R87" s="786"/>
      <c r="S87" s="4"/>
    </row>
    <row r="88" spans="1:19" ht="14.25" customHeight="1" x14ac:dyDescent="0.2">
      <c r="A88" s="2"/>
      <c r="B88" s="2"/>
      <c r="C88" s="3"/>
      <c r="D88" s="4"/>
      <c r="E88" s="4"/>
      <c r="F88" s="774" t="s">
        <v>920</v>
      </c>
      <c r="G88" s="774"/>
      <c r="H88" s="774"/>
      <c r="I88" s="774"/>
      <c r="J88" s="498">
        <f>Datos_residuos!C81</f>
        <v>55.078500000000005</v>
      </c>
      <c r="K88" s="775" t="s">
        <v>39</v>
      </c>
      <c r="L88" s="776"/>
      <c r="M88" s="777"/>
      <c r="N88" s="787"/>
      <c r="O88" s="788"/>
      <c r="P88" s="788"/>
      <c r="Q88" s="788"/>
      <c r="R88" s="789"/>
      <c r="S88" s="4"/>
    </row>
    <row r="89" spans="1:19" ht="14.25" customHeight="1" x14ac:dyDescent="0.2">
      <c r="A89" s="2"/>
      <c r="B89" s="2"/>
      <c r="C89" s="3"/>
      <c r="D89" s="4"/>
      <c r="E89" s="4"/>
      <c r="F89" s="774" t="s">
        <v>213</v>
      </c>
      <c r="G89" s="774"/>
      <c r="H89" s="774"/>
      <c r="I89" s="774"/>
      <c r="J89" s="498">
        <f>Datos_residuos!C82</f>
        <v>100</v>
      </c>
      <c r="K89" s="775" t="s">
        <v>214</v>
      </c>
      <c r="L89" s="776"/>
      <c r="M89" s="777"/>
      <c r="N89" s="790"/>
      <c r="O89" s="791"/>
      <c r="P89" s="791"/>
      <c r="Q89" s="791"/>
      <c r="R89" s="792"/>
      <c r="S89" s="4"/>
    </row>
    <row r="90" spans="1:19" x14ac:dyDescent="0.2">
      <c r="A90" s="2"/>
      <c r="B90" s="2"/>
      <c r="C90" s="3"/>
      <c r="D90" s="4"/>
      <c r="E90" s="4"/>
      <c r="F90" s="4"/>
      <c r="G90" s="4"/>
      <c r="H90" s="4"/>
      <c r="I90" s="4"/>
      <c r="J90" s="4"/>
      <c r="K90" s="4"/>
      <c r="L90" s="4"/>
      <c r="M90" s="4"/>
      <c r="N90" s="4"/>
      <c r="O90" s="4"/>
      <c r="P90" s="4"/>
      <c r="Q90" s="4"/>
      <c r="R90" s="4"/>
      <c r="S90" s="4"/>
    </row>
    <row r="91" spans="1:19" x14ac:dyDescent="0.2">
      <c r="A91" s="2"/>
      <c r="B91" s="2"/>
      <c r="C91" s="3"/>
      <c r="D91" s="4"/>
      <c r="E91" s="4"/>
      <c r="F91" s="4"/>
      <c r="G91" s="4"/>
      <c r="H91" s="4"/>
      <c r="I91" s="4"/>
      <c r="J91" s="4"/>
      <c r="K91" s="4"/>
      <c r="L91" s="4"/>
      <c r="M91" s="4"/>
      <c r="N91" s="4"/>
      <c r="O91" s="4"/>
      <c r="P91" s="4"/>
      <c r="Q91" s="4"/>
      <c r="R91" s="4"/>
      <c r="S91" s="4"/>
    </row>
    <row r="92" spans="1:19" ht="20.100000000000001" customHeight="1" x14ac:dyDescent="0.2">
      <c r="A92" s="2"/>
      <c r="B92" s="2"/>
      <c r="C92" s="3"/>
      <c r="D92" s="4"/>
      <c r="E92" s="795" t="s">
        <v>233</v>
      </c>
      <c r="F92" s="796" t="s">
        <v>2</v>
      </c>
      <c r="G92" s="796"/>
      <c r="H92" s="796"/>
      <c r="I92" s="796"/>
      <c r="J92" s="799" t="s">
        <v>244</v>
      </c>
      <c r="K92" s="799"/>
      <c r="L92" s="799"/>
      <c r="M92" s="799"/>
      <c r="N92" s="799"/>
      <c r="O92" s="799"/>
      <c r="P92" s="799"/>
      <c r="Q92" s="799"/>
      <c r="R92" s="799"/>
      <c r="S92" s="4"/>
    </row>
    <row r="93" spans="1:19" ht="20.100000000000001" customHeight="1" x14ac:dyDescent="0.2">
      <c r="A93" s="2"/>
      <c r="B93" s="2"/>
      <c r="C93" s="3"/>
      <c r="D93" s="4"/>
      <c r="E93" s="795"/>
      <c r="F93" s="796" t="s">
        <v>3</v>
      </c>
      <c r="G93" s="796"/>
      <c r="H93" s="796"/>
      <c r="I93" s="796"/>
      <c r="J93" s="799" t="s">
        <v>238</v>
      </c>
      <c r="K93" s="799"/>
      <c r="L93" s="799"/>
      <c r="M93" s="799"/>
      <c r="N93" s="799"/>
      <c r="O93" s="799"/>
      <c r="P93" s="799"/>
      <c r="Q93" s="799"/>
      <c r="R93" s="799"/>
      <c r="S93" s="4"/>
    </row>
    <row r="94" spans="1:19" ht="99.95" customHeight="1" x14ac:dyDescent="0.2">
      <c r="A94" s="2"/>
      <c r="B94" s="2"/>
      <c r="C94" s="3"/>
      <c r="D94" s="4"/>
      <c r="E94" s="4"/>
      <c r="F94" s="796" t="s">
        <v>50</v>
      </c>
      <c r="G94" s="796"/>
      <c r="H94" s="796"/>
      <c r="I94" s="796"/>
      <c r="J94" s="799" t="s">
        <v>245</v>
      </c>
      <c r="K94" s="799"/>
      <c r="L94" s="799"/>
      <c r="M94" s="799"/>
      <c r="N94" s="799"/>
      <c r="O94" s="799"/>
      <c r="P94" s="799"/>
      <c r="Q94" s="799"/>
      <c r="R94" s="799"/>
      <c r="S94" s="4"/>
    </row>
    <row r="95" spans="1:19" x14ac:dyDescent="0.2">
      <c r="A95" s="2"/>
      <c r="B95" s="2"/>
      <c r="C95" s="3"/>
      <c r="D95" s="4"/>
      <c r="E95" s="4"/>
      <c r="F95" s="4"/>
      <c r="G95" s="4"/>
      <c r="H95" s="4"/>
      <c r="I95" s="4"/>
      <c r="J95" s="4"/>
      <c r="K95" s="4"/>
      <c r="L95" s="4"/>
      <c r="M95" s="4"/>
      <c r="N95" s="4"/>
      <c r="O95" s="4"/>
      <c r="P95" s="4"/>
      <c r="Q95" s="4"/>
      <c r="R95" s="4"/>
      <c r="S95" s="4"/>
    </row>
    <row r="96" spans="1:19" ht="15" x14ac:dyDescent="0.2">
      <c r="A96" s="2"/>
      <c r="B96" s="2"/>
      <c r="C96" s="3"/>
      <c r="D96" s="4"/>
      <c r="E96" s="4"/>
      <c r="F96" s="772" t="s">
        <v>20</v>
      </c>
      <c r="G96" s="772"/>
      <c r="H96" s="772"/>
      <c r="I96" s="772"/>
      <c r="J96" s="772"/>
      <c r="K96" s="772"/>
      <c r="L96" s="772"/>
      <c r="M96" s="772"/>
      <c r="N96" s="772"/>
      <c r="O96" s="772"/>
      <c r="P96" s="772"/>
      <c r="Q96" s="772"/>
      <c r="R96" s="772"/>
      <c r="S96" s="4"/>
    </row>
    <row r="97" spans="1:19" ht="9.9499999999999993" customHeight="1" x14ac:dyDescent="0.2">
      <c r="A97" s="2"/>
      <c r="B97" s="2"/>
      <c r="C97" s="3"/>
      <c r="D97" s="4"/>
      <c r="E97" s="4"/>
      <c r="F97" s="4"/>
      <c r="G97" s="4"/>
      <c r="H97" s="4"/>
      <c r="I97" s="4"/>
      <c r="J97" s="4"/>
      <c r="K97" s="4"/>
      <c r="L97" s="4"/>
      <c r="M97" s="4"/>
      <c r="N97" s="4"/>
      <c r="O97" s="4"/>
      <c r="P97" s="4"/>
      <c r="Q97" s="4"/>
      <c r="R97" s="4"/>
      <c r="S97" s="4"/>
    </row>
    <row r="98" spans="1:19" x14ac:dyDescent="0.2">
      <c r="A98" s="2"/>
      <c r="B98" s="2"/>
      <c r="C98" s="3"/>
      <c r="D98" s="4"/>
      <c r="E98" s="4"/>
      <c r="F98" s="17" t="s">
        <v>1038</v>
      </c>
      <c r="G98" s="4"/>
      <c r="H98" s="4"/>
      <c r="I98" s="4"/>
      <c r="J98" s="4"/>
      <c r="K98" s="4"/>
      <c r="L98" s="4"/>
      <c r="M98" s="4"/>
      <c r="N98" s="4"/>
      <c r="O98" s="4"/>
      <c r="P98" s="771">
        <v>1200</v>
      </c>
      <c r="Q98" s="771"/>
      <c r="R98" s="324" t="s">
        <v>585</v>
      </c>
      <c r="S98" s="4"/>
    </row>
    <row r="99" spans="1:19" x14ac:dyDescent="0.2">
      <c r="A99" s="2"/>
      <c r="B99" s="2"/>
      <c r="C99" s="3"/>
      <c r="D99" s="4"/>
      <c r="E99" s="4"/>
      <c r="F99" s="17" t="s">
        <v>1039</v>
      </c>
      <c r="G99" s="4"/>
      <c r="H99" s="4"/>
      <c r="I99" s="4"/>
      <c r="J99" s="4"/>
      <c r="K99" s="4"/>
      <c r="L99" s="4"/>
      <c r="M99" s="4"/>
      <c r="N99" s="4"/>
      <c r="O99" s="4"/>
      <c r="P99" s="771">
        <v>12</v>
      </c>
      <c r="Q99" s="771"/>
      <c r="R99" s="324" t="s">
        <v>458</v>
      </c>
      <c r="S99" s="4"/>
    </row>
    <row r="100" spans="1:19" x14ac:dyDescent="0.2">
      <c r="A100" s="2"/>
      <c r="B100" s="2"/>
      <c r="C100" s="3"/>
      <c r="D100" s="4"/>
      <c r="E100" s="4"/>
      <c r="F100" s="4"/>
      <c r="G100" s="4"/>
      <c r="H100" s="4"/>
      <c r="I100" s="4"/>
      <c r="J100" s="4"/>
      <c r="K100" s="4"/>
      <c r="L100" s="4"/>
      <c r="M100" s="4"/>
      <c r="N100" s="4"/>
      <c r="O100" s="4"/>
      <c r="P100" s="4"/>
      <c r="Q100" s="4"/>
      <c r="R100" s="4"/>
      <c r="S100" s="4"/>
    </row>
    <row r="101" spans="1:19" ht="15" x14ac:dyDescent="0.2">
      <c r="A101" s="2"/>
      <c r="B101" s="2"/>
      <c r="C101" s="3"/>
      <c r="D101" s="4"/>
      <c r="E101" s="4"/>
      <c r="F101" s="772" t="s">
        <v>36</v>
      </c>
      <c r="G101" s="772"/>
      <c r="H101" s="772"/>
      <c r="I101" s="772"/>
      <c r="J101" s="772"/>
      <c r="K101" s="772"/>
      <c r="L101" s="772"/>
      <c r="M101" s="772"/>
      <c r="N101" s="772"/>
      <c r="O101" s="772"/>
      <c r="P101" s="772"/>
      <c r="Q101" s="772"/>
      <c r="R101" s="772"/>
      <c r="S101" s="4"/>
    </row>
    <row r="102" spans="1:19" ht="9.9499999999999993" customHeight="1" x14ac:dyDescent="0.2">
      <c r="A102" s="2"/>
      <c r="B102" s="2"/>
      <c r="C102" s="3"/>
      <c r="D102" s="4"/>
      <c r="E102" s="4"/>
      <c r="F102" s="4"/>
      <c r="G102" s="4"/>
      <c r="H102" s="4"/>
      <c r="I102" s="4"/>
      <c r="J102" s="4"/>
      <c r="K102" s="4"/>
      <c r="L102" s="4"/>
      <c r="M102" s="4"/>
      <c r="N102" s="4"/>
      <c r="O102" s="4"/>
      <c r="P102" s="4"/>
      <c r="Q102" s="4"/>
      <c r="R102" s="4"/>
      <c r="S102" s="4"/>
    </row>
    <row r="103" spans="1:19" x14ac:dyDescent="0.2">
      <c r="A103" s="2"/>
      <c r="B103" s="2"/>
      <c r="C103" s="3"/>
      <c r="D103" s="4"/>
      <c r="E103" s="4"/>
      <c r="F103" s="17" t="s">
        <v>223</v>
      </c>
      <c r="G103" s="4"/>
      <c r="H103" s="4"/>
      <c r="I103" s="4"/>
      <c r="J103" s="4"/>
      <c r="K103" s="4"/>
      <c r="L103" s="4"/>
      <c r="M103" s="4"/>
      <c r="N103" s="4"/>
      <c r="O103" s="4"/>
      <c r="P103" s="773">
        <f>Datos_residuos!C102</f>
        <v>438</v>
      </c>
      <c r="Q103" s="773"/>
      <c r="R103" s="324" t="s">
        <v>803</v>
      </c>
      <c r="S103" s="4"/>
    </row>
    <row r="104" spans="1:19" x14ac:dyDescent="0.2">
      <c r="A104" s="2"/>
      <c r="B104" s="2"/>
      <c r="C104" s="3"/>
      <c r="D104" s="4"/>
      <c r="E104" s="4"/>
      <c r="F104" s="17" t="s">
        <v>920</v>
      </c>
      <c r="G104" s="4"/>
      <c r="H104" s="4"/>
      <c r="I104" s="4"/>
      <c r="J104" s="4"/>
      <c r="K104" s="4"/>
      <c r="L104" s="4"/>
      <c r="M104" s="4"/>
      <c r="N104" s="4"/>
      <c r="O104" s="4"/>
      <c r="P104" s="773">
        <f>Datos_residuos!E102</f>
        <v>328.5</v>
      </c>
      <c r="Q104" s="773"/>
      <c r="R104" s="324" t="s">
        <v>1087</v>
      </c>
      <c r="S104" s="4"/>
    </row>
    <row r="105" spans="1:19" x14ac:dyDescent="0.2">
      <c r="A105" s="2"/>
      <c r="B105" s="2"/>
      <c r="C105" s="3"/>
      <c r="D105" s="4"/>
      <c r="E105" s="4"/>
      <c r="F105" s="17" t="s">
        <v>213</v>
      </c>
      <c r="G105" s="4"/>
      <c r="H105" s="4"/>
      <c r="I105" s="4"/>
      <c r="J105" s="4"/>
      <c r="K105" s="4"/>
      <c r="L105" s="4"/>
      <c r="M105" s="4"/>
      <c r="N105" s="4"/>
      <c r="O105" s="4"/>
      <c r="P105" s="773">
        <f>Datos_residuos!C103</f>
        <v>12</v>
      </c>
      <c r="Q105" s="773"/>
      <c r="R105" s="324" t="s">
        <v>458</v>
      </c>
      <c r="S105" s="4"/>
    </row>
    <row r="106" spans="1:19" x14ac:dyDescent="0.2">
      <c r="A106" s="2"/>
      <c r="B106" s="2"/>
      <c r="C106" s="3"/>
      <c r="D106" s="4"/>
      <c r="E106" s="4"/>
      <c r="F106" s="17"/>
      <c r="G106" s="4"/>
      <c r="H106" s="4"/>
      <c r="I106" s="4"/>
      <c r="J106" s="4"/>
      <c r="K106" s="4"/>
      <c r="L106" s="4"/>
      <c r="M106" s="4"/>
      <c r="N106" s="4"/>
      <c r="O106" s="324"/>
      <c r="P106" s="324"/>
      <c r="Q106" s="324"/>
      <c r="R106" s="324"/>
      <c r="S106" s="4"/>
    </row>
    <row r="107" spans="1:19" x14ac:dyDescent="0.2">
      <c r="A107" s="2"/>
      <c r="B107" s="2"/>
      <c r="C107" s="3"/>
      <c r="D107" s="4"/>
      <c r="E107" s="4"/>
      <c r="F107" s="4"/>
      <c r="G107" s="4"/>
      <c r="H107" s="4"/>
      <c r="I107" s="4"/>
      <c r="J107" s="4"/>
      <c r="K107" s="4"/>
      <c r="L107" s="4"/>
      <c r="M107" s="4"/>
      <c r="N107" s="4"/>
      <c r="O107" s="4"/>
      <c r="P107" s="4"/>
      <c r="Q107" s="4"/>
      <c r="R107" s="4"/>
      <c r="S107" s="4"/>
    </row>
  </sheetData>
  <sheetProtection algorithmName="SHA-512" hashValue="xtaLMf/HrwDUg4aMPueamofOr0DhUGN3x7/BmUSD90jQh4QiRa3ESFG7TbPb68IKheOHrdVA/XhZjOnynyHadg==" saltValue="oJIZPp3BpWYct+PLWEc/9w==" spinCount="100000" sheet="1" objects="1" scenarios="1"/>
  <mergeCells count="160">
    <mergeCell ref="P85:Q85"/>
    <mergeCell ref="F87:I87"/>
    <mergeCell ref="K87:M87"/>
    <mergeCell ref="J66:R66"/>
    <mergeCell ref="J65:R65"/>
    <mergeCell ref="J64:R64"/>
    <mergeCell ref="N82:O82"/>
    <mergeCell ref="P82:Q82"/>
    <mergeCell ref="F83:I83"/>
    <mergeCell ref="K83:M83"/>
    <mergeCell ref="N83:O83"/>
    <mergeCell ref="P83:Q83"/>
    <mergeCell ref="F78:O78"/>
    <mergeCell ref="P51:Q51"/>
    <mergeCell ref="F55:I55"/>
    <mergeCell ref="K50:M50"/>
    <mergeCell ref="N21:R21"/>
    <mergeCell ref="N22:R22"/>
    <mergeCell ref="N24:R24"/>
    <mergeCell ref="N23:R23"/>
    <mergeCell ref="F25:O25"/>
    <mergeCell ref="F27:R27"/>
    <mergeCell ref="F47:H47"/>
    <mergeCell ref="N47:R47"/>
    <mergeCell ref="F48:H48"/>
    <mergeCell ref="N48:R48"/>
    <mergeCell ref="P29:Q29"/>
    <mergeCell ref="P30:Q30"/>
    <mergeCell ref="P31:Q31"/>
    <mergeCell ref="P32:Q32"/>
    <mergeCell ref="N33:R35"/>
    <mergeCell ref="F30:I30"/>
    <mergeCell ref="F29:I29"/>
    <mergeCell ref="K35:M35"/>
    <mergeCell ref="K34:M34"/>
    <mergeCell ref="K33:M33"/>
    <mergeCell ref="K32:M32"/>
    <mergeCell ref="F53:R53"/>
    <mergeCell ref="N59:R61"/>
    <mergeCell ref="N58:O58"/>
    <mergeCell ref="P58:Q58"/>
    <mergeCell ref="F59:I59"/>
    <mergeCell ref="K59:M59"/>
    <mergeCell ref="F60:I60"/>
    <mergeCell ref="K60:M60"/>
    <mergeCell ref="F61:I61"/>
    <mergeCell ref="K61:M61"/>
    <mergeCell ref="F57:I57"/>
    <mergeCell ref="K57:M57"/>
    <mergeCell ref="N57:O57"/>
    <mergeCell ref="P57:Q57"/>
    <mergeCell ref="F58:I58"/>
    <mergeCell ref="K58:M58"/>
    <mergeCell ref="K48:M48"/>
    <mergeCell ref="J40:R40"/>
    <mergeCell ref="J39:R39"/>
    <mergeCell ref="J38:R38"/>
    <mergeCell ref="P25:Q25"/>
    <mergeCell ref="F24:H24"/>
    <mergeCell ref="F23:H23"/>
    <mergeCell ref="F49:H49"/>
    <mergeCell ref="K31:M31"/>
    <mergeCell ref="K30:M30"/>
    <mergeCell ref="K29:M29"/>
    <mergeCell ref="F34:I34"/>
    <mergeCell ref="F33:I33"/>
    <mergeCell ref="F32:I32"/>
    <mergeCell ref="F31:I31"/>
    <mergeCell ref="N29:O29"/>
    <mergeCell ref="N30:O30"/>
    <mergeCell ref="N31:O31"/>
    <mergeCell ref="N32:O32"/>
    <mergeCell ref="F40:I40"/>
    <mergeCell ref="F14:I14"/>
    <mergeCell ref="K22:M22"/>
    <mergeCell ref="K23:M23"/>
    <mergeCell ref="K24:M24"/>
    <mergeCell ref="K21:M21"/>
    <mergeCell ref="C3:L3"/>
    <mergeCell ref="E12:E13"/>
    <mergeCell ref="F12:I12"/>
    <mergeCell ref="F13:I13"/>
    <mergeCell ref="J14:R14"/>
    <mergeCell ref="J13:R13"/>
    <mergeCell ref="J12:R12"/>
    <mergeCell ref="F16:R16"/>
    <mergeCell ref="F22:H22"/>
    <mergeCell ref="F21:H21"/>
    <mergeCell ref="E64:E65"/>
    <mergeCell ref="F66:I66"/>
    <mergeCell ref="F64:I64"/>
    <mergeCell ref="F65:I65"/>
    <mergeCell ref="K76:M76"/>
    <mergeCell ref="K77:M77"/>
    <mergeCell ref="K49:M49"/>
    <mergeCell ref="F35:I35"/>
    <mergeCell ref="F42:R42"/>
    <mergeCell ref="K55:M55"/>
    <mergeCell ref="N55:O55"/>
    <mergeCell ref="P55:Q55"/>
    <mergeCell ref="F56:I56"/>
    <mergeCell ref="K56:M56"/>
    <mergeCell ref="N56:O56"/>
    <mergeCell ref="P56:Q56"/>
    <mergeCell ref="E38:E39"/>
    <mergeCell ref="F38:I38"/>
    <mergeCell ref="F39:I39"/>
    <mergeCell ref="N49:R49"/>
    <mergeCell ref="F50:H50"/>
    <mergeCell ref="N50:R50"/>
    <mergeCell ref="F51:O51"/>
    <mergeCell ref="K47:M47"/>
    <mergeCell ref="E92:E93"/>
    <mergeCell ref="F92:I92"/>
    <mergeCell ref="F93:I93"/>
    <mergeCell ref="F94:I94"/>
    <mergeCell ref="K73:M73"/>
    <mergeCell ref="N86:O86"/>
    <mergeCell ref="K74:M74"/>
    <mergeCell ref="K75:M75"/>
    <mergeCell ref="J93:R93"/>
    <mergeCell ref="J94:R94"/>
    <mergeCell ref="J92:R92"/>
    <mergeCell ref="F73:H73"/>
    <mergeCell ref="N73:R73"/>
    <mergeCell ref="F74:H74"/>
    <mergeCell ref="N74:R74"/>
    <mergeCell ref="F75:H75"/>
    <mergeCell ref="N75:R75"/>
    <mergeCell ref="F76:H76"/>
    <mergeCell ref="N76:R76"/>
    <mergeCell ref="F82:I82"/>
    <mergeCell ref="K82:M82"/>
    <mergeCell ref="P78:Q78"/>
    <mergeCell ref="F77:H77"/>
    <mergeCell ref="N77:R77"/>
    <mergeCell ref="P98:Q98"/>
    <mergeCell ref="P99:Q99"/>
    <mergeCell ref="F96:R96"/>
    <mergeCell ref="F101:R101"/>
    <mergeCell ref="P105:Q105"/>
    <mergeCell ref="P104:Q104"/>
    <mergeCell ref="P103:Q103"/>
    <mergeCell ref="F68:R68"/>
    <mergeCell ref="F80:R80"/>
    <mergeCell ref="F88:I88"/>
    <mergeCell ref="K88:M88"/>
    <mergeCell ref="F89:I89"/>
    <mergeCell ref="K89:M89"/>
    <mergeCell ref="F86:I86"/>
    <mergeCell ref="P86:Q86"/>
    <mergeCell ref="K86:M86"/>
    <mergeCell ref="N87:R89"/>
    <mergeCell ref="F84:I84"/>
    <mergeCell ref="K84:M84"/>
    <mergeCell ref="N84:O84"/>
    <mergeCell ref="P84:Q84"/>
    <mergeCell ref="F85:I85"/>
    <mergeCell ref="K85:M85"/>
    <mergeCell ref="N85:O85"/>
  </mergeCells>
  <conditionalFormatting sqref="J22:R24">
    <cfRule type="expression" dxfId="12" priority="8">
      <formula>$I$22:$I$24&lt;&gt;"X"</formula>
    </cfRule>
  </conditionalFormatting>
  <conditionalFormatting sqref="J24:R24">
    <cfRule type="expression" dxfId="11" priority="7">
      <formula>$I$24&lt;&gt;"x"</formula>
    </cfRule>
  </conditionalFormatting>
  <conditionalFormatting sqref="J48:R48">
    <cfRule type="expression" dxfId="10" priority="11">
      <formula>$I$48&lt;&gt;"X"</formula>
    </cfRule>
  </conditionalFormatting>
  <conditionalFormatting sqref="J49:R49">
    <cfRule type="expression" dxfId="9" priority="10">
      <formula>$I$49&lt;&gt;"X"</formula>
    </cfRule>
  </conditionalFormatting>
  <conditionalFormatting sqref="J50:R50">
    <cfRule type="expression" dxfId="8" priority="9">
      <formula>$I$50&lt;&gt;"x"</formula>
    </cfRule>
  </conditionalFormatting>
  <conditionalFormatting sqref="J74:R74">
    <cfRule type="expression" dxfId="7" priority="4">
      <formula>$I$74&lt;&gt;"X"</formula>
    </cfRule>
  </conditionalFormatting>
  <conditionalFormatting sqref="J75:R75">
    <cfRule type="expression" dxfId="6" priority="3">
      <formula>$I$75&lt;&gt;"x"</formula>
    </cfRule>
  </conditionalFormatting>
  <conditionalFormatting sqref="J76:R76">
    <cfRule type="expression" dxfId="5" priority="1">
      <formula>$I$76&lt;&gt;"x"</formula>
    </cfRule>
  </conditionalFormatting>
  <conditionalFormatting sqref="J77:R77">
    <cfRule type="expression" dxfId="4" priority="2">
      <formula>$I$77&lt;&gt;"x"</formula>
    </cfRule>
  </conditionalFormatting>
  <hyperlinks>
    <hyperlink ref="G6" location="RESIDUOS!E38" display="B. Empresas de recolección" xr:uid="{F1F0D388-4DBC-4B74-B215-9AE98C3C04EC}"/>
    <hyperlink ref="G7" location="RESIDUOS!E64" display="C. Empresas de gestión" xr:uid="{59855945-182D-4BB2-8287-0ED29E755C87}"/>
    <hyperlink ref="G8" location="RESIDUOS!E92" display="D. Compostaje" xr:uid="{68AFC2F0-6545-4AAD-A6FF-86774517209B}"/>
    <hyperlink ref="G5" location="RESIDUOS!E12" display="A. Centros de reciclaje" xr:uid="{34187D7B-9F12-4608-B9AB-FAFC77564D14}"/>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19B0D998-D913-4B05-ADB6-56E99D686769}">
          <x14:formula1>
            <xm:f>Datos_residuos!$I$20:$I$23</xm:f>
          </x14:formula1>
          <xm:sqref>N22:R24</xm:sqref>
        </x14:dataValidation>
        <x14:dataValidation type="list" allowBlank="1" showInputMessage="1" showErrorMessage="1" xr:uid="{27CEB85C-BD69-411C-870B-8B20308354BA}">
          <x14:formula1>
            <xm:f>Datos_residuos!$I$30:$I$33</xm:f>
          </x14:formula1>
          <xm:sqref>N48:R50</xm:sqref>
        </x14:dataValidation>
        <x14:dataValidation type="list" allowBlank="1" showInputMessage="1" showErrorMessage="1" xr:uid="{9155D82C-D92D-4884-9CA9-2C9F6B841B5A}">
          <x14:formula1>
            <xm:f>Datos_residuos!$H$66:$H$70</xm:f>
          </x14:formula1>
          <xm:sqref>N74:R77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CF424-2D33-4A00-844E-B38D3532F408}">
  <dimension ref="A1:L105"/>
  <sheetViews>
    <sheetView showGridLines="0" zoomScale="89" zoomScaleNormal="89" workbookViewId="0">
      <selection sqref="A1:XFD1"/>
    </sheetView>
  </sheetViews>
  <sheetFormatPr baseColWidth="10" defaultColWidth="0" defaultRowHeight="30" customHeight="1" zeroHeight="1" x14ac:dyDescent="0.2"/>
  <cols>
    <col min="1" max="1" width="17.75" style="257" customWidth="1"/>
    <col min="2" max="2" width="9.5" style="257" customWidth="1"/>
    <col min="3" max="3" width="18" style="257" customWidth="1"/>
    <col min="4" max="4" width="17.5" style="257" customWidth="1"/>
    <col min="5" max="5" width="11.625" style="257" customWidth="1"/>
    <col min="6" max="6" width="16" style="257" customWidth="1"/>
    <col min="7" max="7" width="34.25" style="257" customWidth="1"/>
    <col min="8" max="8" width="34.875" style="257" customWidth="1"/>
    <col min="9" max="9" width="42.25" style="257" customWidth="1"/>
    <col min="10" max="12" width="11" style="257" customWidth="1"/>
    <col min="13" max="16384" width="11" style="257" hidden="1"/>
  </cols>
  <sheetData>
    <row r="1" spans="1:9" s="588" customFormat="1" ht="30" customHeight="1" x14ac:dyDescent="0.2">
      <c r="A1" s="588" t="s">
        <v>194</v>
      </c>
      <c r="B1" s="589"/>
      <c r="C1" s="589"/>
      <c r="D1" s="589"/>
      <c r="E1" s="589"/>
      <c r="F1" s="589"/>
      <c r="G1" s="589"/>
      <c r="H1" s="589"/>
      <c r="I1" s="589"/>
    </row>
    <row r="2" spans="1:9" ht="30" customHeight="1" x14ac:dyDescent="0.2">
      <c r="A2" s="388" t="s">
        <v>70</v>
      </c>
      <c r="B2" s="389"/>
    </row>
    <row r="3" spans="1:9" ht="30" customHeight="1" x14ac:dyDescent="0.2">
      <c r="A3" s="831" t="s">
        <v>195</v>
      </c>
      <c r="B3" s="831"/>
      <c r="C3" s="831"/>
      <c r="D3" s="831"/>
      <c r="E3" s="831"/>
    </row>
    <row r="4" spans="1:9" ht="9.75" customHeight="1" x14ac:dyDescent="0.2"/>
    <row r="5" spans="1:9" ht="30" customHeight="1" x14ac:dyDescent="0.2">
      <c r="A5" s="388" t="s">
        <v>72</v>
      </c>
      <c r="B5" s="389"/>
    </row>
    <row r="6" spans="1:9" ht="30" customHeight="1" x14ac:dyDescent="0.2">
      <c r="A6" s="831" t="s">
        <v>196</v>
      </c>
      <c r="B6" s="831"/>
      <c r="C6" s="831"/>
      <c r="D6" s="831"/>
      <c r="E6" s="831"/>
    </row>
    <row r="7" spans="1:9" ht="13.5" customHeight="1" x14ac:dyDescent="0.2">
      <c r="A7" s="390"/>
      <c r="B7" s="390"/>
      <c r="C7" s="390"/>
      <c r="D7" s="390"/>
    </row>
    <row r="8" spans="1:9" ht="30" customHeight="1" x14ac:dyDescent="0.2">
      <c r="A8" s="832" t="s">
        <v>74</v>
      </c>
      <c r="B8" s="832"/>
      <c r="C8" s="832"/>
      <c r="D8" s="832"/>
    </row>
    <row r="9" spans="1:9" ht="30" customHeight="1" x14ac:dyDescent="0.2">
      <c r="A9" s="833" t="s">
        <v>197</v>
      </c>
      <c r="B9" s="833"/>
      <c r="C9" s="834" t="s">
        <v>198</v>
      </c>
      <c r="D9" s="834"/>
    </row>
    <row r="10" spans="1:9" ht="35.25" customHeight="1" x14ac:dyDescent="0.2">
      <c r="A10" s="833" t="s">
        <v>921</v>
      </c>
      <c r="B10" s="833"/>
      <c r="C10" s="834" t="s">
        <v>922</v>
      </c>
      <c r="D10" s="834"/>
    </row>
    <row r="11" spans="1:9" ht="30" customHeight="1" x14ac:dyDescent="0.2"/>
    <row r="12" spans="1:9" ht="30" customHeight="1" x14ac:dyDescent="0.2">
      <c r="A12" s="835" t="s">
        <v>199</v>
      </c>
      <c r="B12" s="836"/>
      <c r="C12" s="836"/>
      <c r="D12" s="837"/>
      <c r="E12" s="838" t="s">
        <v>34</v>
      </c>
      <c r="F12" s="839"/>
      <c r="G12" s="839"/>
      <c r="H12" s="840"/>
      <c r="I12" s="63" t="s">
        <v>200</v>
      </c>
    </row>
    <row r="13" spans="1:9" ht="30" customHeight="1" x14ac:dyDescent="0.2">
      <c r="A13" s="381" t="s">
        <v>201</v>
      </c>
      <c r="B13" s="381" t="s">
        <v>202</v>
      </c>
      <c r="C13" s="382" t="s">
        <v>203</v>
      </c>
      <c r="D13" s="383" t="s">
        <v>204</v>
      </c>
      <c r="E13" s="382" t="s">
        <v>923</v>
      </c>
      <c r="F13" s="382" t="s">
        <v>924</v>
      </c>
      <c r="G13" s="382" t="s">
        <v>40</v>
      </c>
      <c r="H13" s="382" t="s">
        <v>140</v>
      </c>
      <c r="I13" s="392"/>
    </row>
    <row r="14" spans="1:9" ht="30" customHeight="1" x14ac:dyDescent="0.2">
      <c r="A14" s="252" t="s">
        <v>205</v>
      </c>
      <c r="B14" s="67" t="str">
        <f>RESIDUOS!I22</f>
        <v>X</v>
      </c>
      <c r="C14" s="252">
        <f>RESIDUOS!J22</f>
        <v>150</v>
      </c>
      <c r="D14" s="68" t="s">
        <v>206</v>
      </c>
      <c r="E14" s="393">
        <v>1.84</v>
      </c>
      <c r="F14" s="260">
        <v>0.61</v>
      </c>
      <c r="G14" s="393">
        <f>+E14-F14</f>
        <v>1.23</v>
      </c>
      <c r="H14" s="260" t="s">
        <v>925</v>
      </c>
      <c r="I14" s="345" t="str">
        <f>+IF(RESIDUOS!N22=0,"-",RESIDUOS!N22)</f>
        <v>Venta a empresas como materia prima</v>
      </c>
    </row>
    <row r="15" spans="1:9" ht="30" customHeight="1" x14ac:dyDescent="0.2">
      <c r="A15" s="252" t="s">
        <v>207</v>
      </c>
      <c r="B15" s="67" t="str">
        <f>RESIDUOS!I23</f>
        <v>X</v>
      </c>
      <c r="C15" s="252">
        <f>RESIDUOS!J23</f>
        <v>200</v>
      </c>
      <c r="D15" s="68" t="s">
        <v>206</v>
      </c>
      <c r="E15" s="393">
        <v>3.5</v>
      </c>
      <c r="F15" s="260">
        <v>1.653</v>
      </c>
      <c r="G15" s="393">
        <f>+E15-F15</f>
        <v>1.847</v>
      </c>
      <c r="H15" s="260" t="s">
        <v>925</v>
      </c>
      <c r="I15" s="345" t="str">
        <f>+IF(RESIDUOS!N23=0,"-",RESIDUOS!N23)</f>
        <v>Exportación</v>
      </c>
    </row>
    <row r="16" spans="1:9" ht="30" customHeight="1" x14ac:dyDescent="0.2">
      <c r="A16" s="252" t="s">
        <v>208</v>
      </c>
      <c r="B16" s="67">
        <f>RESIDUOS!I24</f>
        <v>0</v>
      </c>
      <c r="C16" s="252">
        <f>RESIDUOS!J24</f>
        <v>0</v>
      </c>
      <c r="D16" s="68" t="s">
        <v>206</v>
      </c>
      <c r="E16" s="393">
        <v>2.5</v>
      </c>
      <c r="F16" s="260">
        <v>0.6</v>
      </c>
      <c r="G16" s="393">
        <f>+E16-F16</f>
        <v>1.9</v>
      </c>
      <c r="H16" s="260" t="s">
        <v>926</v>
      </c>
      <c r="I16" s="345" t="str">
        <f>+IF(RESIDUOS!N24=0,"-",RESIDUOS!N24)</f>
        <v>-</v>
      </c>
    </row>
    <row r="17" spans="1:12" ht="30" customHeight="1" x14ac:dyDescent="0.2">
      <c r="A17" s="831" t="s">
        <v>209</v>
      </c>
      <c r="B17" s="831"/>
      <c r="C17" s="260">
        <f>RESIDUOS!P25</f>
        <v>15</v>
      </c>
      <c r="D17" s="393" t="s">
        <v>458</v>
      </c>
      <c r="E17" s="828"/>
      <c r="F17" s="829"/>
      <c r="G17" s="829"/>
      <c r="H17" s="829"/>
      <c r="I17" s="830"/>
    </row>
    <row r="18" spans="1:12" ht="30" customHeight="1" x14ac:dyDescent="0.2"/>
    <row r="19" spans="1:12" ht="24" customHeight="1" x14ac:dyDescent="0.2">
      <c r="A19" s="388" t="s">
        <v>148</v>
      </c>
      <c r="B19" s="389"/>
    </row>
    <row r="20" spans="1:12" ht="30" customHeight="1" x14ac:dyDescent="0.2">
      <c r="A20" s="394" t="s">
        <v>85</v>
      </c>
      <c r="B20" s="394"/>
      <c r="C20" s="395" t="s">
        <v>3</v>
      </c>
      <c r="D20" s="395" t="s">
        <v>140</v>
      </c>
      <c r="E20" s="395" t="s">
        <v>927</v>
      </c>
      <c r="F20" s="395" t="s">
        <v>140</v>
      </c>
      <c r="G20" s="395" t="s">
        <v>928</v>
      </c>
      <c r="I20" s="61" t="s">
        <v>224</v>
      </c>
    </row>
    <row r="21" spans="1:12" ht="29.25" customHeight="1" x14ac:dyDescent="0.2">
      <c r="A21" s="827" t="s">
        <v>205</v>
      </c>
      <c r="B21" s="827"/>
      <c r="C21" s="397">
        <f>+IF(C14=0,"-",C14*365/1000)</f>
        <v>54.75</v>
      </c>
      <c r="D21" s="262" t="s">
        <v>211</v>
      </c>
      <c r="E21" s="398">
        <f>+IF(C21="-","-",C21*G14)</f>
        <v>67.342500000000001</v>
      </c>
      <c r="F21" s="399" t="s">
        <v>929</v>
      </c>
      <c r="G21" s="399" t="str">
        <f>+I14</f>
        <v>Venta a empresas como materia prima</v>
      </c>
      <c r="I21" s="61" t="s">
        <v>225</v>
      </c>
    </row>
    <row r="22" spans="1:12" ht="29.25" customHeight="1" x14ac:dyDescent="0.2">
      <c r="A22" s="827" t="s">
        <v>207</v>
      </c>
      <c r="B22" s="827"/>
      <c r="C22" s="400">
        <f>+IF(C15=0,"-",C15*365/1000)</f>
        <v>73</v>
      </c>
      <c r="D22" s="262" t="s">
        <v>211</v>
      </c>
      <c r="E22" s="401">
        <f t="shared" ref="E22:E23" si="0">+IF(C22="-","-",C22*G15)</f>
        <v>134.83099999999999</v>
      </c>
      <c r="F22" s="399" t="s">
        <v>929</v>
      </c>
      <c r="G22" s="399" t="str">
        <f>+I15</f>
        <v>Exportación</v>
      </c>
      <c r="I22" s="61" t="s">
        <v>226</v>
      </c>
    </row>
    <row r="23" spans="1:12" ht="29.25" customHeight="1" x14ac:dyDescent="0.2">
      <c r="A23" s="827" t="s">
        <v>208</v>
      </c>
      <c r="B23" s="827"/>
      <c r="C23" s="400" t="str">
        <f>+IF(C16=0,"-",C16*365/1000)</f>
        <v>-</v>
      </c>
      <c r="D23" s="262" t="s">
        <v>211</v>
      </c>
      <c r="E23" s="401" t="str">
        <f t="shared" si="0"/>
        <v>-</v>
      </c>
      <c r="F23" s="399" t="s">
        <v>929</v>
      </c>
      <c r="G23" s="399" t="str">
        <f>+I16</f>
        <v>-</v>
      </c>
      <c r="I23" s="61" t="s">
        <v>227</v>
      </c>
    </row>
    <row r="24" spans="1:12" ht="29.25" customHeight="1" x14ac:dyDescent="0.2">
      <c r="A24" s="841" t="s">
        <v>930</v>
      </c>
      <c r="B24" s="841"/>
      <c r="C24" s="402">
        <f>SUM(C21:C23)</f>
        <v>127.75</v>
      </c>
      <c r="D24" s="403" t="s">
        <v>211</v>
      </c>
      <c r="E24" s="404"/>
      <c r="F24" s="396"/>
      <c r="G24" s="399"/>
    </row>
    <row r="25" spans="1:12" ht="29.25" customHeight="1" x14ac:dyDescent="0.2">
      <c r="A25" s="841" t="s">
        <v>920</v>
      </c>
      <c r="B25" s="841"/>
      <c r="C25" s="405">
        <f>+SUM(E21:E23)</f>
        <v>202.17349999999999</v>
      </c>
      <c r="D25" s="403" t="s">
        <v>931</v>
      </c>
      <c r="E25" s="396"/>
      <c r="F25" s="396"/>
      <c r="G25" s="399"/>
    </row>
    <row r="26" spans="1:12" ht="25.5" customHeight="1" x14ac:dyDescent="0.2">
      <c r="A26" s="841" t="s">
        <v>213</v>
      </c>
      <c r="B26" s="841"/>
      <c r="C26" s="406">
        <f>+C17</f>
        <v>15</v>
      </c>
      <c r="D26" s="403" t="s">
        <v>214</v>
      </c>
      <c r="E26" s="399"/>
      <c r="F26" s="396"/>
      <c r="G26" s="396"/>
    </row>
    <row r="27" spans="1:12" ht="30" customHeight="1" x14ac:dyDescent="0.2"/>
    <row r="28" spans="1:12" ht="30" customHeight="1" x14ac:dyDescent="0.2">
      <c r="A28" s="588" t="s">
        <v>215</v>
      </c>
      <c r="B28" s="589"/>
      <c r="C28" s="589"/>
      <c r="D28" s="589"/>
      <c r="E28" s="589"/>
      <c r="F28" s="589"/>
      <c r="G28" s="589"/>
      <c r="H28" s="589"/>
      <c r="I28" s="589"/>
      <c r="J28" s="589"/>
      <c r="K28" s="589"/>
      <c r="L28" s="589"/>
    </row>
    <row r="29" spans="1:12" ht="20.25" customHeight="1" x14ac:dyDescent="0.2">
      <c r="A29" s="388" t="s">
        <v>70</v>
      </c>
      <c r="B29" s="389"/>
    </row>
    <row r="30" spans="1:12" ht="30" customHeight="1" x14ac:dyDescent="0.2">
      <c r="A30" s="844" t="s">
        <v>195</v>
      </c>
      <c r="B30" s="845"/>
      <c r="C30" s="845"/>
      <c r="D30" s="845"/>
      <c r="E30" s="846"/>
      <c r="I30" s="58" t="s">
        <v>224</v>
      </c>
    </row>
    <row r="31" spans="1:12" ht="30" customHeight="1" x14ac:dyDescent="0.2">
      <c r="I31" s="58" t="s">
        <v>225</v>
      </c>
    </row>
    <row r="32" spans="1:12" ht="16.5" customHeight="1" x14ac:dyDescent="0.2">
      <c r="A32" s="407" t="s">
        <v>72</v>
      </c>
      <c r="B32" s="408"/>
      <c r="I32" s="58" t="s">
        <v>226</v>
      </c>
    </row>
    <row r="33" spans="1:9" ht="30" customHeight="1" x14ac:dyDescent="0.2">
      <c r="A33" s="844" t="s">
        <v>196</v>
      </c>
      <c r="B33" s="845"/>
      <c r="C33" s="845"/>
      <c r="D33" s="845"/>
      <c r="E33" s="846"/>
      <c r="I33" s="58" t="s">
        <v>227</v>
      </c>
    </row>
    <row r="34" spans="1:9" ht="17.25" customHeight="1" x14ac:dyDescent="0.2">
      <c r="A34" s="390"/>
      <c r="B34" s="390"/>
      <c r="C34" s="390"/>
      <c r="D34" s="390"/>
    </row>
    <row r="35" spans="1:9" ht="18.75" customHeight="1" x14ac:dyDescent="0.2">
      <c r="A35" s="832" t="s">
        <v>74</v>
      </c>
      <c r="B35" s="832"/>
      <c r="C35" s="832"/>
      <c r="D35" s="832"/>
    </row>
    <row r="36" spans="1:9" ht="30" customHeight="1" x14ac:dyDescent="0.2">
      <c r="A36" s="833" t="s">
        <v>197</v>
      </c>
      <c r="B36" s="833"/>
      <c r="C36" s="834" t="s">
        <v>198</v>
      </c>
      <c r="D36" s="834"/>
    </row>
    <row r="37" spans="1:9" ht="30" customHeight="1" x14ac:dyDescent="0.2">
      <c r="A37" s="833" t="s">
        <v>921</v>
      </c>
      <c r="B37" s="833"/>
      <c r="C37" s="834" t="s">
        <v>922</v>
      </c>
      <c r="D37" s="834"/>
    </row>
    <row r="38" spans="1:9" ht="30" customHeight="1" x14ac:dyDescent="0.2"/>
    <row r="39" spans="1:9" ht="30" customHeight="1" x14ac:dyDescent="0.2">
      <c r="A39" s="835" t="s">
        <v>199</v>
      </c>
      <c r="B39" s="836"/>
      <c r="C39" s="836"/>
      <c r="D39" s="837"/>
      <c r="E39" s="838" t="s">
        <v>932</v>
      </c>
      <c r="F39" s="839"/>
      <c r="G39" s="839"/>
      <c r="H39" s="63" t="s">
        <v>200</v>
      </c>
    </row>
    <row r="40" spans="1:9" ht="30" customHeight="1" x14ac:dyDescent="0.2">
      <c r="A40" s="384" t="s">
        <v>201</v>
      </c>
      <c r="B40" s="384" t="s">
        <v>202</v>
      </c>
      <c r="C40" s="385" t="s">
        <v>203</v>
      </c>
      <c r="D40" s="386" t="s">
        <v>204</v>
      </c>
      <c r="E40" s="409" t="s">
        <v>923</v>
      </c>
      <c r="F40" s="409" t="s">
        <v>924</v>
      </c>
      <c r="G40" s="409" t="s">
        <v>40</v>
      </c>
      <c r="H40" s="410"/>
    </row>
    <row r="41" spans="1:9" ht="30" customHeight="1" x14ac:dyDescent="0.2">
      <c r="A41" s="252" t="s">
        <v>205</v>
      </c>
      <c r="B41" s="67" t="str">
        <f>RESIDUOS!I48</f>
        <v>X</v>
      </c>
      <c r="C41" s="252">
        <f>RESIDUOS!J48</f>
        <v>150</v>
      </c>
      <c r="D41" s="68" t="s">
        <v>206</v>
      </c>
      <c r="E41" s="393">
        <v>1.84</v>
      </c>
      <c r="F41" s="260">
        <v>0.61</v>
      </c>
      <c r="G41" s="393">
        <f>+E41-F41</f>
        <v>1.23</v>
      </c>
      <c r="H41" s="345" t="str">
        <f>RESIDUOS!N48</f>
        <v>Venta a empresas como materia prima</v>
      </c>
    </row>
    <row r="42" spans="1:9" ht="30" customHeight="1" x14ac:dyDescent="0.2">
      <c r="A42" s="252" t="s">
        <v>207</v>
      </c>
      <c r="B42" s="67" t="str">
        <f>RESIDUOS!I49</f>
        <v>X</v>
      </c>
      <c r="C42" s="252">
        <f>RESIDUOS!J49</f>
        <v>150</v>
      </c>
      <c r="D42" s="68" t="s">
        <v>206</v>
      </c>
      <c r="E42" s="393">
        <v>3.5</v>
      </c>
      <c r="F42" s="260">
        <v>1.653</v>
      </c>
      <c r="G42" s="393">
        <f>+E42-F42</f>
        <v>1.847</v>
      </c>
      <c r="H42" s="345" t="str">
        <f>RESIDUOS!N49</f>
        <v>Exportación</v>
      </c>
    </row>
    <row r="43" spans="1:9" ht="30" customHeight="1" x14ac:dyDescent="0.2">
      <c r="A43" s="252" t="s">
        <v>208</v>
      </c>
      <c r="B43" s="67">
        <f>RESIDUOS!I50</f>
        <v>0</v>
      </c>
      <c r="C43" s="252">
        <f>RESIDUOS!J50</f>
        <v>0</v>
      </c>
      <c r="D43" s="68" t="s">
        <v>206</v>
      </c>
      <c r="E43" s="393">
        <v>2.5</v>
      </c>
      <c r="F43" s="260">
        <v>0.6</v>
      </c>
      <c r="G43" s="393">
        <f>+E43-F43</f>
        <v>1.9</v>
      </c>
      <c r="H43" s="345" t="str">
        <f>RESIDUOS!N50</f>
        <v>Valorización energética</v>
      </c>
    </row>
    <row r="44" spans="1:9" ht="30" customHeight="1" x14ac:dyDescent="0.2">
      <c r="A44" s="831" t="s">
        <v>209</v>
      </c>
      <c r="B44" s="831"/>
      <c r="C44" s="252">
        <f>RESIDUOS!P51</f>
        <v>15</v>
      </c>
      <c r="D44" s="842" t="s">
        <v>214</v>
      </c>
      <c r="E44" s="843"/>
      <c r="F44" s="260">
        <f>88/1000</f>
        <v>8.7999999999999995E-2</v>
      </c>
      <c r="G44" s="828"/>
      <c r="H44" s="830"/>
    </row>
    <row r="45" spans="1:9" ht="30" customHeight="1" x14ac:dyDescent="0.2"/>
    <row r="46" spans="1:9" ht="30" customHeight="1" x14ac:dyDescent="0.2">
      <c r="A46" s="388" t="s">
        <v>148</v>
      </c>
      <c r="B46" s="389"/>
    </row>
    <row r="47" spans="1:9" ht="30" customHeight="1" x14ac:dyDescent="0.2">
      <c r="A47" s="394" t="s">
        <v>85</v>
      </c>
      <c r="B47" s="394"/>
      <c r="C47" s="395" t="s">
        <v>3</v>
      </c>
      <c r="D47" s="395" t="s">
        <v>140</v>
      </c>
      <c r="E47" s="395" t="s">
        <v>927</v>
      </c>
      <c r="F47" s="395" t="s">
        <v>140</v>
      </c>
      <c r="G47" s="395" t="s">
        <v>928</v>
      </c>
    </row>
    <row r="48" spans="1:9" ht="30" customHeight="1" x14ac:dyDescent="0.2">
      <c r="A48" s="827" t="s">
        <v>205</v>
      </c>
      <c r="B48" s="827"/>
      <c r="C48" s="396">
        <f>+IF(C41=0,"-",C41*365/1000)</f>
        <v>54.75</v>
      </c>
      <c r="D48" s="262" t="s">
        <v>211</v>
      </c>
      <c r="E48" s="398">
        <f>+IF(C48="-","-",C48*G41)</f>
        <v>67.342500000000001</v>
      </c>
      <c r="F48" s="399" t="s">
        <v>929</v>
      </c>
      <c r="G48" s="396" t="str">
        <f>+H41</f>
        <v>Venta a empresas como materia prima</v>
      </c>
    </row>
    <row r="49" spans="1:12" ht="30" customHeight="1" x14ac:dyDescent="0.2">
      <c r="A49" s="827" t="s">
        <v>207</v>
      </c>
      <c r="B49" s="827"/>
      <c r="C49" s="396">
        <f>+IF(C42=0,"-",C42*365/1000)</f>
        <v>54.75</v>
      </c>
      <c r="D49" s="262" t="s">
        <v>211</v>
      </c>
      <c r="E49" s="398">
        <f>+IF(C49="-","-",C49*G42)</f>
        <v>101.12325</v>
      </c>
      <c r="F49" s="399" t="s">
        <v>929</v>
      </c>
      <c r="G49" s="396" t="str">
        <f t="shared" ref="G49:G50" si="1">+H42</f>
        <v>Exportación</v>
      </c>
    </row>
    <row r="50" spans="1:12" ht="30" customHeight="1" x14ac:dyDescent="0.2">
      <c r="A50" s="827" t="s">
        <v>208</v>
      </c>
      <c r="B50" s="827"/>
      <c r="C50" s="404" t="str">
        <f>+IF(C43=0,"-",C43*365/1000)</f>
        <v>-</v>
      </c>
      <c r="D50" s="262" t="s">
        <v>211</v>
      </c>
      <c r="E50" s="401" t="str">
        <f>+IF(C50="-","-",C50*G43)</f>
        <v>-</v>
      </c>
      <c r="F50" s="399" t="s">
        <v>929</v>
      </c>
      <c r="G50" s="396" t="str">
        <f t="shared" si="1"/>
        <v>Valorización energética</v>
      </c>
    </row>
    <row r="51" spans="1:12" ht="30" customHeight="1" x14ac:dyDescent="0.2">
      <c r="A51" s="841" t="s">
        <v>930</v>
      </c>
      <c r="B51" s="841"/>
      <c r="C51" s="406">
        <f>SUM(C48:C50)</f>
        <v>109.5</v>
      </c>
      <c r="D51" s="403" t="s">
        <v>211</v>
      </c>
      <c r="E51" s="411">
        <f>SUM(E48:E50)</f>
        <v>168.46575000000001</v>
      </c>
      <c r="F51" s="399" t="s">
        <v>929</v>
      </c>
      <c r="G51" s="396"/>
    </row>
    <row r="52" spans="1:12" ht="30" customHeight="1" x14ac:dyDescent="0.2">
      <c r="A52" s="841" t="s">
        <v>920</v>
      </c>
      <c r="B52" s="841"/>
      <c r="C52" s="405">
        <f>+E51</f>
        <v>168.46575000000001</v>
      </c>
      <c r="D52" s="412" t="s">
        <v>929</v>
      </c>
      <c r="E52" s="847"/>
      <c r="F52" s="848"/>
      <c r="G52" s="849"/>
    </row>
    <row r="53" spans="1:12" ht="30" customHeight="1" x14ac:dyDescent="0.2">
      <c r="A53" s="841" t="s">
        <v>213</v>
      </c>
      <c r="B53" s="841"/>
      <c r="C53" s="406">
        <f>+C44</f>
        <v>15</v>
      </c>
      <c r="D53" s="403" t="s">
        <v>214</v>
      </c>
      <c r="E53" s="850"/>
      <c r="F53" s="851"/>
      <c r="G53" s="852"/>
    </row>
    <row r="54" spans="1:12" ht="30" customHeight="1" x14ac:dyDescent="0.2"/>
    <row r="55" spans="1:12" ht="30" customHeight="1" x14ac:dyDescent="0.2">
      <c r="A55" s="588" t="s">
        <v>216</v>
      </c>
      <c r="B55" s="589"/>
      <c r="C55" s="589"/>
      <c r="D55" s="589"/>
      <c r="E55" s="589"/>
      <c r="F55" s="589"/>
      <c r="G55" s="589"/>
      <c r="H55" s="589"/>
      <c r="I55" s="589"/>
      <c r="J55" s="589"/>
      <c r="K55" s="589"/>
      <c r="L55" s="589"/>
    </row>
    <row r="56" spans="1:12" ht="30" customHeight="1" x14ac:dyDescent="0.2">
      <c r="A56" s="407" t="s">
        <v>70</v>
      </c>
      <c r="B56" s="408"/>
    </row>
    <row r="57" spans="1:12" ht="30" customHeight="1" x14ac:dyDescent="0.2">
      <c r="A57" s="844" t="s">
        <v>217</v>
      </c>
      <c r="B57" s="845"/>
      <c r="C57" s="845"/>
      <c r="D57" s="845"/>
      <c r="E57" s="846"/>
    </row>
    <row r="58" spans="1:12" ht="30" customHeight="1" x14ac:dyDescent="0.2"/>
    <row r="59" spans="1:12" ht="30" customHeight="1" x14ac:dyDescent="0.2">
      <c r="A59" s="388" t="s">
        <v>72</v>
      </c>
      <c r="B59" s="389"/>
    </row>
    <row r="60" spans="1:12" ht="30" customHeight="1" x14ac:dyDescent="0.2">
      <c r="A60" s="844" t="s">
        <v>218</v>
      </c>
      <c r="B60" s="845"/>
      <c r="C60" s="845"/>
      <c r="D60" s="845"/>
      <c r="E60" s="846"/>
    </row>
    <row r="61" spans="1:12" ht="30" customHeight="1" x14ac:dyDescent="0.2">
      <c r="A61" s="390"/>
      <c r="B61" s="390"/>
      <c r="C61" s="390"/>
      <c r="D61" s="390"/>
    </row>
    <row r="62" spans="1:12" ht="30" customHeight="1" x14ac:dyDescent="0.2">
      <c r="A62" s="832" t="s">
        <v>74</v>
      </c>
      <c r="B62" s="832"/>
      <c r="C62" s="832"/>
      <c r="D62" s="832"/>
    </row>
    <row r="63" spans="1:12" ht="30" customHeight="1" x14ac:dyDescent="0.2">
      <c r="A63" s="833" t="s">
        <v>197</v>
      </c>
      <c r="B63" s="833"/>
      <c r="C63" s="855" t="s">
        <v>198</v>
      </c>
      <c r="D63" s="855"/>
    </row>
    <row r="64" spans="1:12" ht="30" customHeight="1" x14ac:dyDescent="0.2">
      <c r="A64" s="833" t="s">
        <v>921</v>
      </c>
      <c r="B64" s="833"/>
      <c r="C64" s="834" t="s">
        <v>922</v>
      </c>
      <c r="D64" s="834"/>
    </row>
    <row r="65" spans="1:8" ht="30" customHeight="1" x14ac:dyDescent="0.2"/>
    <row r="66" spans="1:8" ht="30" customHeight="1" x14ac:dyDescent="0.2">
      <c r="A66" s="835" t="s">
        <v>199</v>
      </c>
      <c r="B66" s="836"/>
      <c r="C66" s="836"/>
      <c r="D66" s="837"/>
      <c r="E66" s="63" t="s">
        <v>200</v>
      </c>
      <c r="F66" s="861" t="s">
        <v>933</v>
      </c>
      <c r="G66" s="861"/>
      <c r="H66" s="61" t="s">
        <v>240</v>
      </c>
    </row>
    <row r="67" spans="1:8" ht="30" customHeight="1" x14ac:dyDescent="0.2">
      <c r="A67" s="869" t="s">
        <v>201</v>
      </c>
      <c r="B67" s="870"/>
      <c r="C67" s="65" t="s">
        <v>203</v>
      </c>
      <c r="D67" s="66" t="s">
        <v>204</v>
      </c>
      <c r="E67" s="413" t="s">
        <v>200</v>
      </c>
      <c r="F67" s="414" t="s">
        <v>934</v>
      </c>
      <c r="G67" s="414" t="s">
        <v>935</v>
      </c>
      <c r="H67" s="61" t="s">
        <v>227</v>
      </c>
    </row>
    <row r="68" spans="1:8" ht="30" customHeight="1" x14ac:dyDescent="0.2">
      <c r="A68" s="853" t="str">
        <f>+'[4]6.3 Residuos especiales'!B9</f>
        <v>Llantas</v>
      </c>
      <c r="B68" s="854"/>
      <c r="C68" s="252">
        <f>RESIDUOS!J74</f>
        <v>23</v>
      </c>
      <c r="D68" s="68" t="s">
        <v>206</v>
      </c>
      <c r="E68" s="345" t="str">
        <f>RESIDUOS!N74</f>
        <v>Valorización energética</v>
      </c>
      <c r="F68" s="67" t="s">
        <v>936</v>
      </c>
      <c r="G68" s="67">
        <f>+(0.8+1.1)/2</f>
        <v>0.95000000000000007</v>
      </c>
      <c r="H68" s="61" t="s">
        <v>226</v>
      </c>
    </row>
    <row r="69" spans="1:8" ht="30" customHeight="1" x14ac:dyDescent="0.2">
      <c r="A69" s="853" t="str">
        <f>+'[4]6.3 Residuos especiales'!B10</f>
        <v>Baterias</v>
      </c>
      <c r="B69" s="854"/>
      <c r="C69" s="252">
        <f>RESIDUOS!J75</f>
        <v>14</v>
      </c>
      <c r="D69" s="68" t="s">
        <v>206</v>
      </c>
      <c r="E69" s="345" t="str">
        <f>RESIDUOS!N75</f>
        <v>Recuperación de materiales valiosos</v>
      </c>
      <c r="F69" s="67" t="s">
        <v>937</v>
      </c>
      <c r="G69" s="67">
        <f>+(1.6+2.3)/2</f>
        <v>1.95</v>
      </c>
      <c r="H69" s="61" t="s">
        <v>241</v>
      </c>
    </row>
    <row r="70" spans="1:8" ht="30" customHeight="1" x14ac:dyDescent="0.2">
      <c r="A70" s="853" t="str">
        <f>+'[4]6.3 Residuos especiales'!B11</f>
        <v>Residuos electrónicos</v>
      </c>
      <c r="B70" s="854"/>
      <c r="C70" s="252">
        <f>RESIDUOS!J76</f>
        <v>55</v>
      </c>
      <c r="D70" s="68" t="s">
        <v>206</v>
      </c>
      <c r="E70" s="345" t="str">
        <f>RESIDUOS!N76</f>
        <v>Otros procesos</v>
      </c>
      <c r="F70" s="67" t="s">
        <v>938</v>
      </c>
      <c r="G70" s="67">
        <f>+(1.5+2.2)/2</f>
        <v>1.85</v>
      </c>
      <c r="H70" s="61" t="s">
        <v>242</v>
      </c>
    </row>
    <row r="71" spans="1:8" ht="30" customHeight="1" x14ac:dyDescent="0.2">
      <c r="A71" s="853" t="str">
        <f>+'[4]6.3 Residuos especiales'!B12</f>
        <v>Plástico de invernadero</v>
      </c>
      <c r="B71" s="854"/>
      <c r="C71" s="252">
        <f>RESIDUOS!J77</f>
        <v>0</v>
      </c>
      <c r="D71" s="68" t="s">
        <v>206</v>
      </c>
      <c r="E71" s="345">
        <f>RESIDUOS!N77</f>
        <v>0</v>
      </c>
      <c r="F71" s="67" t="s">
        <v>939</v>
      </c>
      <c r="G71" s="67">
        <f>+(1.8+2.5)/2</f>
        <v>2.15</v>
      </c>
    </row>
    <row r="72" spans="1:8" ht="30" customHeight="1" x14ac:dyDescent="0.2">
      <c r="A72" s="831" t="s">
        <v>209</v>
      </c>
      <c r="B72" s="831"/>
      <c r="C72" s="260">
        <f>RESIDUOS!P78</f>
        <v>100</v>
      </c>
      <c r="D72" s="393" t="s">
        <v>214</v>
      </c>
      <c r="E72" s="828"/>
      <c r="F72" s="829"/>
      <c r="G72" s="830"/>
    </row>
    <row r="73" spans="1:8" ht="30" customHeight="1" x14ac:dyDescent="0.2"/>
    <row r="74" spans="1:8" ht="30" customHeight="1" x14ac:dyDescent="0.2">
      <c r="A74" s="388" t="s">
        <v>148</v>
      </c>
      <c r="B74" s="389"/>
    </row>
    <row r="75" spans="1:8" ht="30" customHeight="1" x14ac:dyDescent="0.2">
      <c r="A75" s="394" t="s">
        <v>85</v>
      </c>
      <c r="B75" s="394"/>
      <c r="C75" s="395" t="s">
        <v>3</v>
      </c>
      <c r="D75" s="395" t="s">
        <v>140</v>
      </c>
      <c r="E75" s="395" t="s">
        <v>927</v>
      </c>
      <c r="F75" s="395" t="s">
        <v>140</v>
      </c>
      <c r="G75" s="395" t="s">
        <v>928</v>
      </c>
    </row>
    <row r="76" spans="1:8" ht="30" customHeight="1" x14ac:dyDescent="0.2">
      <c r="A76" s="827" t="str">
        <f>+A68</f>
        <v>Llantas</v>
      </c>
      <c r="B76" s="827"/>
      <c r="C76" s="396">
        <f>+IF(C68=0,"-",C68*365/1000)</f>
        <v>8.3949999999999996</v>
      </c>
      <c r="D76" s="262" t="s">
        <v>211</v>
      </c>
      <c r="E76" s="401">
        <f>+IF(C76="-","-",C76*G68)</f>
        <v>7.97525</v>
      </c>
      <c r="F76" s="399" t="s">
        <v>929</v>
      </c>
      <c r="G76" s="399" t="str">
        <f>+E68</f>
        <v>Valorización energética</v>
      </c>
    </row>
    <row r="77" spans="1:8" ht="30" customHeight="1" x14ac:dyDescent="0.2">
      <c r="A77" s="827" t="str">
        <f>+A69</f>
        <v>Baterias</v>
      </c>
      <c r="B77" s="827"/>
      <c r="C77" s="396">
        <f>+IF(C69=0,"-",C69*365/1000)</f>
        <v>5.1100000000000003</v>
      </c>
      <c r="D77" s="262" t="s">
        <v>211</v>
      </c>
      <c r="E77" s="401">
        <f>+IF(C77="-","-",C77*G69)</f>
        <v>9.964500000000001</v>
      </c>
      <c r="F77" s="399" t="s">
        <v>929</v>
      </c>
      <c r="G77" s="399" t="str">
        <f>+E69</f>
        <v>Recuperación de materiales valiosos</v>
      </c>
    </row>
    <row r="78" spans="1:8" ht="30" customHeight="1" x14ac:dyDescent="0.2">
      <c r="A78" s="827" t="str">
        <f>+A70</f>
        <v>Residuos electrónicos</v>
      </c>
      <c r="B78" s="827"/>
      <c r="C78" s="404">
        <f>+IF(C70=0,"-",C70*365/1000)</f>
        <v>20.074999999999999</v>
      </c>
      <c r="D78" s="262" t="s">
        <v>211</v>
      </c>
      <c r="E78" s="401">
        <f>+IF(C78="-","-",C78*G70)</f>
        <v>37.138750000000002</v>
      </c>
      <c r="F78" s="399" t="s">
        <v>929</v>
      </c>
      <c r="G78" s="399" t="str">
        <f>+E70</f>
        <v>Otros procesos</v>
      </c>
    </row>
    <row r="79" spans="1:8" ht="30" customHeight="1" x14ac:dyDescent="0.2">
      <c r="A79" s="827" t="str">
        <f>+A71</f>
        <v>Plástico de invernadero</v>
      </c>
      <c r="B79" s="827"/>
      <c r="C79" s="404" t="str">
        <f>+IF(C71=0,"-",C71*365/1000)</f>
        <v>-</v>
      </c>
      <c r="D79" s="262" t="s">
        <v>211</v>
      </c>
      <c r="E79" s="401" t="str">
        <f>+IF(C79="-","-",C79*G71)</f>
        <v>-</v>
      </c>
      <c r="F79" s="399" t="s">
        <v>929</v>
      </c>
      <c r="G79" s="399">
        <f>+E71</f>
        <v>0</v>
      </c>
    </row>
    <row r="80" spans="1:8" ht="30" customHeight="1" x14ac:dyDescent="0.2">
      <c r="A80" s="841" t="s">
        <v>930</v>
      </c>
      <c r="B80" s="841"/>
      <c r="C80" s="406">
        <f>SUM(C76:C79)</f>
        <v>33.58</v>
      </c>
      <c r="D80" s="403" t="s">
        <v>211</v>
      </c>
      <c r="E80" s="401">
        <f>+SUM(E76:E79)</f>
        <v>55.078500000000005</v>
      </c>
      <c r="F80" s="399" t="s">
        <v>929</v>
      </c>
      <c r="G80" s="399"/>
    </row>
    <row r="81" spans="1:12" ht="30" customHeight="1" x14ac:dyDescent="0.2">
      <c r="A81" s="841" t="s">
        <v>920</v>
      </c>
      <c r="B81" s="841"/>
      <c r="C81" s="405">
        <f>+E80</f>
        <v>55.078500000000005</v>
      </c>
      <c r="D81" s="263" t="s">
        <v>929</v>
      </c>
      <c r="E81" s="863"/>
      <c r="F81" s="864"/>
      <c r="G81" s="865"/>
    </row>
    <row r="82" spans="1:12" ht="30" customHeight="1" x14ac:dyDescent="0.2">
      <c r="A82" s="841" t="s">
        <v>213</v>
      </c>
      <c r="B82" s="841"/>
      <c r="C82" s="406">
        <f>+C72</f>
        <v>100</v>
      </c>
      <c r="D82" s="403" t="s">
        <v>214</v>
      </c>
      <c r="E82" s="866"/>
      <c r="F82" s="867"/>
      <c r="G82" s="868"/>
    </row>
    <row r="83" spans="1:12" ht="30" customHeight="1" x14ac:dyDescent="0.2"/>
    <row r="84" spans="1:12" ht="30" customHeight="1" x14ac:dyDescent="0.2">
      <c r="A84" s="588" t="s">
        <v>219</v>
      </c>
      <c r="B84" s="589"/>
      <c r="C84" s="589"/>
      <c r="D84" s="589"/>
      <c r="E84" s="589"/>
      <c r="F84" s="589"/>
      <c r="G84" s="589"/>
      <c r="H84" s="589"/>
      <c r="I84" s="589"/>
      <c r="J84" s="589"/>
      <c r="K84" s="589"/>
      <c r="L84" s="589"/>
    </row>
    <row r="85" spans="1:12" ht="30" customHeight="1" x14ac:dyDescent="0.2">
      <c r="A85" s="388" t="s">
        <v>70</v>
      </c>
      <c r="B85" s="389"/>
    </row>
    <row r="86" spans="1:12" ht="30" customHeight="1" x14ac:dyDescent="0.2">
      <c r="A86" s="844" t="s">
        <v>220</v>
      </c>
      <c r="B86" s="845"/>
      <c r="C86" s="845"/>
      <c r="D86" s="845"/>
      <c r="E86" s="846"/>
    </row>
    <row r="87" spans="1:12" ht="30" customHeight="1" x14ac:dyDescent="0.2"/>
    <row r="88" spans="1:12" ht="30" customHeight="1" x14ac:dyDescent="0.2">
      <c r="A88" s="388" t="s">
        <v>72</v>
      </c>
      <c r="B88" s="389"/>
    </row>
    <row r="89" spans="1:12" ht="30" customHeight="1" x14ac:dyDescent="0.2">
      <c r="A89" s="844" t="s">
        <v>221</v>
      </c>
      <c r="B89" s="845"/>
      <c r="C89" s="845"/>
      <c r="D89" s="845"/>
      <c r="E89" s="846"/>
    </row>
    <row r="90" spans="1:12" ht="30" customHeight="1" x14ac:dyDescent="0.2">
      <c r="A90" s="390"/>
      <c r="B90" s="390"/>
      <c r="C90" s="390"/>
      <c r="D90" s="390"/>
    </row>
    <row r="91" spans="1:12" ht="30" customHeight="1" x14ac:dyDescent="0.2">
      <c r="A91" s="832" t="s">
        <v>74</v>
      </c>
      <c r="B91" s="832"/>
      <c r="C91" s="832"/>
      <c r="D91" s="832"/>
    </row>
    <row r="92" spans="1:12" ht="30" customHeight="1" x14ac:dyDescent="0.2">
      <c r="A92" s="833" t="s">
        <v>197</v>
      </c>
      <c r="B92" s="833"/>
      <c r="C92" s="834" t="s">
        <v>198</v>
      </c>
      <c r="D92" s="834"/>
    </row>
    <row r="93" spans="1:12" ht="30" customHeight="1" x14ac:dyDescent="0.2">
      <c r="A93" s="833" t="s">
        <v>921</v>
      </c>
      <c r="B93" s="833"/>
      <c r="C93" s="834" t="s">
        <v>922</v>
      </c>
      <c r="D93" s="834"/>
    </row>
    <row r="94" spans="1:12" ht="30" customHeight="1" x14ac:dyDescent="0.2"/>
    <row r="95" spans="1:12" ht="41.25" customHeight="1" x14ac:dyDescent="0.2">
      <c r="A95" s="860" t="s">
        <v>139</v>
      </c>
      <c r="B95" s="860"/>
      <c r="C95" s="860"/>
      <c r="D95" s="391" t="s">
        <v>108</v>
      </c>
      <c r="E95" s="391" t="s">
        <v>140</v>
      </c>
      <c r="F95" s="861" t="s">
        <v>940</v>
      </c>
      <c r="G95" s="861"/>
    </row>
    <row r="96" spans="1:12" ht="30" customHeight="1" x14ac:dyDescent="0.2">
      <c r="A96" s="862" t="s">
        <v>222</v>
      </c>
      <c r="B96" s="862"/>
      <c r="C96" s="862"/>
      <c r="D96" s="249">
        <f>RESIDUOS!P98</f>
        <v>1200</v>
      </c>
      <c r="E96" s="64" t="s">
        <v>206</v>
      </c>
      <c r="F96" s="414" t="s">
        <v>934</v>
      </c>
      <c r="G96" s="414" t="s">
        <v>935</v>
      </c>
    </row>
    <row r="97" spans="1:7" ht="30" customHeight="1" x14ac:dyDescent="0.2">
      <c r="A97" s="862" t="s">
        <v>209</v>
      </c>
      <c r="B97" s="862"/>
      <c r="C97" s="862"/>
      <c r="D97" s="249">
        <f>RESIDUOS!P99</f>
        <v>12</v>
      </c>
      <c r="E97" s="64" t="s">
        <v>206</v>
      </c>
      <c r="F97" s="67" t="s">
        <v>941</v>
      </c>
      <c r="G97" s="67">
        <f>+(0.5+1)/2</f>
        <v>0.75</v>
      </c>
    </row>
    <row r="98" spans="1:7" ht="30" customHeight="1" x14ac:dyDescent="0.2"/>
    <row r="99" spans="1:7" ht="30" customHeight="1" x14ac:dyDescent="0.2"/>
    <row r="100" spans="1:7" ht="30" customHeight="1" x14ac:dyDescent="0.2">
      <c r="A100" s="388" t="s">
        <v>148</v>
      </c>
      <c r="B100" s="389"/>
    </row>
    <row r="101" spans="1:7" ht="30" customHeight="1" x14ac:dyDescent="0.2">
      <c r="A101" s="394" t="s">
        <v>85</v>
      </c>
      <c r="B101" s="394"/>
      <c r="C101" s="395" t="s">
        <v>3</v>
      </c>
      <c r="D101" s="395" t="s">
        <v>140</v>
      </c>
      <c r="E101" s="395" t="s">
        <v>3</v>
      </c>
      <c r="F101" s="395" t="s">
        <v>140</v>
      </c>
    </row>
    <row r="102" spans="1:7" ht="30" customHeight="1" x14ac:dyDescent="0.2">
      <c r="A102" s="856" t="s">
        <v>942</v>
      </c>
      <c r="B102" s="857"/>
      <c r="C102" s="396">
        <f>+D96*365/1000</f>
        <v>438</v>
      </c>
      <c r="D102" s="403" t="s">
        <v>211</v>
      </c>
      <c r="E102" s="396">
        <f>+C102*G97</f>
        <v>328.5</v>
      </c>
      <c r="F102" s="399" t="s">
        <v>929</v>
      </c>
    </row>
    <row r="103" spans="1:7" ht="30" customHeight="1" x14ac:dyDescent="0.2">
      <c r="A103" s="858" t="s">
        <v>213</v>
      </c>
      <c r="B103" s="859"/>
      <c r="C103" s="396">
        <f>+D97</f>
        <v>12</v>
      </c>
      <c r="D103" s="262" t="s">
        <v>214</v>
      </c>
      <c r="E103" s="396"/>
      <c r="F103" s="396"/>
    </row>
    <row r="104" spans="1:7" ht="30" customHeight="1" x14ac:dyDescent="0.2"/>
    <row r="105" spans="1:7" ht="30" customHeight="1" x14ac:dyDescent="0.2"/>
  </sheetData>
  <mergeCells count="77">
    <mergeCell ref="E72:G72"/>
    <mergeCell ref="E81:G82"/>
    <mergeCell ref="A1:XFD1"/>
    <mergeCell ref="A28:L28"/>
    <mergeCell ref="A55:L55"/>
    <mergeCell ref="A80:B80"/>
    <mergeCell ref="A81:B81"/>
    <mergeCell ref="A82:B82"/>
    <mergeCell ref="A72:B72"/>
    <mergeCell ref="A76:B76"/>
    <mergeCell ref="A77:B77"/>
    <mergeCell ref="A78:B78"/>
    <mergeCell ref="A79:B79"/>
    <mergeCell ref="F66:G66"/>
    <mergeCell ref="A67:B67"/>
    <mergeCell ref="A68:B68"/>
    <mergeCell ref="A84:L84"/>
    <mergeCell ref="A95:C95"/>
    <mergeCell ref="F95:G95"/>
    <mergeCell ref="A96:C96"/>
    <mergeCell ref="A97:C97"/>
    <mergeCell ref="A86:E86"/>
    <mergeCell ref="A102:B102"/>
    <mergeCell ref="A103:B103"/>
    <mergeCell ref="A89:E89"/>
    <mergeCell ref="A91:D91"/>
    <mergeCell ref="A92:B92"/>
    <mergeCell ref="C92:D92"/>
    <mergeCell ref="A93:B93"/>
    <mergeCell ref="C93:D93"/>
    <mergeCell ref="A69:B69"/>
    <mergeCell ref="A70:B70"/>
    <mergeCell ref="A71:B71"/>
    <mergeCell ref="A62:D62"/>
    <mergeCell ref="A63:B63"/>
    <mergeCell ref="C63:D63"/>
    <mergeCell ref="A64:B64"/>
    <mergeCell ref="C64:D64"/>
    <mergeCell ref="A66:D66"/>
    <mergeCell ref="A51:B51"/>
    <mergeCell ref="A52:B52"/>
    <mergeCell ref="A53:B53"/>
    <mergeCell ref="A57:E57"/>
    <mergeCell ref="A60:E60"/>
    <mergeCell ref="E52:G53"/>
    <mergeCell ref="A50:B50"/>
    <mergeCell ref="G44:H44"/>
    <mergeCell ref="D44:E44"/>
    <mergeCell ref="A30:E30"/>
    <mergeCell ref="A33:E33"/>
    <mergeCell ref="A35:D35"/>
    <mergeCell ref="A36:B36"/>
    <mergeCell ref="C36:D36"/>
    <mergeCell ref="A37:B37"/>
    <mergeCell ref="C37:D37"/>
    <mergeCell ref="A39:D39"/>
    <mergeCell ref="E39:G39"/>
    <mergeCell ref="A44:B44"/>
    <mergeCell ref="A48:B48"/>
    <mergeCell ref="A49:B49"/>
    <mergeCell ref="A22:B22"/>
    <mergeCell ref="A23:B23"/>
    <mergeCell ref="A24:B24"/>
    <mergeCell ref="A25:B25"/>
    <mergeCell ref="A26:B26"/>
    <mergeCell ref="A21:B21"/>
    <mergeCell ref="E17:I17"/>
    <mergeCell ref="A3:E3"/>
    <mergeCell ref="A6:E6"/>
    <mergeCell ref="A8:D8"/>
    <mergeCell ref="A9:B9"/>
    <mergeCell ref="C9:D9"/>
    <mergeCell ref="A10:B10"/>
    <mergeCell ref="C10:D10"/>
    <mergeCell ref="A12:D12"/>
    <mergeCell ref="E12:H12"/>
    <mergeCell ref="A17:B17"/>
  </mergeCells>
  <conditionalFormatting sqref="A78:B79">
    <cfRule type="cellIs" dxfId="3" priority="1" operator="equal">
      <formula>0</formula>
    </cfRule>
  </conditionalFormatting>
  <conditionalFormatting sqref="A68:E72">
    <cfRule type="cellIs" dxfId="2" priority="4" operator="equal">
      <formula>0</formula>
    </cfRule>
  </conditionalFormatting>
  <conditionalFormatting sqref="C102:C103">
    <cfRule type="containsBlanks" dxfId="1" priority="3">
      <formula>LEN(TRIM(C102))=0</formula>
    </cfRule>
  </conditionalFormatting>
  <conditionalFormatting sqref="D102">
    <cfRule type="containsBlanks" dxfId="0" priority="2">
      <formula>LEN(TRIM(D102))=0</formula>
    </cfRule>
  </conditionalFormatting>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2D4DB-1C29-4543-B570-CEA0ED00379C}">
  <sheetPr>
    <tabColor theme="3" tint="-0.249977111117893"/>
  </sheetPr>
  <dimension ref="A1:S167"/>
  <sheetViews>
    <sheetView zoomScale="110" zoomScaleNormal="110" workbookViewId="0">
      <selection activeCell="J14" sqref="J14:Q14"/>
    </sheetView>
  </sheetViews>
  <sheetFormatPr baseColWidth="10" defaultColWidth="0" defaultRowHeight="0" customHeight="1" zeroHeight="1" x14ac:dyDescent="0.2"/>
  <cols>
    <col min="1" max="1" width="2.625" customWidth="1"/>
    <col min="2" max="5" width="11" customWidth="1"/>
    <col min="6" max="6" width="3.625" customWidth="1"/>
    <col min="7" max="7" width="11" customWidth="1"/>
    <col min="8" max="8" width="2.625" customWidth="1"/>
    <col min="9" max="9" width="7.625" customWidth="1"/>
    <col min="10" max="10" width="11" customWidth="1"/>
    <col min="11" max="12" width="2.625" customWidth="1"/>
    <col min="13" max="13" width="2.75" customWidth="1"/>
    <col min="14" max="14" width="2.625" customWidth="1"/>
    <col min="15" max="15" width="9.5" customWidth="1"/>
    <col min="16" max="16" width="11" customWidth="1"/>
    <col min="17" max="17" width="9" customWidth="1"/>
    <col min="18" max="18" width="11" customWidth="1"/>
    <col min="19" max="16384" width="11" hidden="1"/>
  </cols>
  <sheetData>
    <row r="1" spans="1:18" ht="14.25" x14ac:dyDescent="0.2">
      <c r="A1" s="2"/>
      <c r="B1" s="2"/>
      <c r="C1" s="3"/>
      <c r="D1" s="4"/>
      <c r="E1" s="4"/>
      <c r="F1" s="4"/>
      <c r="G1" s="4"/>
      <c r="H1" s="4"/>
      <c r="I1" s="4"/>
      <c r="J1" s="4"/>
      <c r="K1" s="4"/>
      <c r="L1" s="4"/>
      <c r="M1" s="4"/>
      <c r="N1" s="4"/>
      <c r="O1" s="4"/>
      <c r="P1" s="4"/>
      <c r="Q1" s="4"/>
      <c r="R1" s="4"/>
    </row>
    <row r="2" spans="1:18" ht="14.25" x14ac:dyDescent="0.2">
      <c r="A2" s="2"/>
      <c r="B2" s="2"/>
      <c r="C2" s="3"/>
      <c r="D2" s="4"/>
      <c r="E2" s="4"/>
      <c r="F2" s="4"/>
      <c r="G2" s="4"/>
      <c r="H2" s="4"/>
      <c r="I2" s="4"/>
      <c r="J2" s="4"/>
      <c r="K2" s="4"/>
      <c r="L2" s="4"/>
      <c r="M2" s="4"/>
      <c r="N2" s="4"/>
      <c r="O2" s="4"/>
      <c r="P2" s="4"/>
      <c r="Q2" s="4"/>
      <c r="R2" s="4"/>
    </row>
    <row r="3" spans="1:18" ht="14.25" x14ac:dyDescent="0.2">
      <c r="A3" s="2"/>
      <c r="B3" s="2"/>
      <c r="C3" s="884"/>
      <c r="D3" s="884"/>
      <c r="E3" s="884"/>
      <c r="F3" s="884"/>
      <c r="G3" s="884"/>
      <c r="H3" s="884"/>
      <c r="I3" s="884"/>
      <c r="J3" s="884"/>
      <c r="K3" s="884"/>
      <c r="L3" s="884"/>
      <c r="M3" s="4"/>
      <c r="N3" s="4"/>
      <c r="O3" s="4"/>
      <c r="P3" s="4"/>
      <c r="Q3" s="4"/>
      <c r="R3" s="4"/>
    </row>
    <row r="4" spans="1:18" ht="14.25" x14ac:dyDescent="0.2">
      <c r="A4" s="2"/>
      <c r="B4" s="2"/>
      <c r="C4" s="5"/>
      <c r="D4" s="5"/>
      <c r="E4" s="5"/>
      <c r="F4" s="5"/>
      <c r="G4" s="5"/>
      <c r="H4" s="5"/>
      <c r="I4" s="5"/>
      <c r="J4" s="5"/>
      <c r="K4" s="18"/>
      <c r="L4" s="18"/>
      <c r="M4" s="4"/>
      <c r="N4" s="4"/>
      <c r="O4" s="4"/>
      <c r="P4" s="4"/>
      <c r="Q4" s="4"/>
      <c r="R4" s="4"/>
    </row>
    <row r="5" spans="1:18" ht="14.25" x14ac:dyDescent="0.2">
      <c r="A5" s="2"/>
      <c r="B5" s="2"/>
      <c r="C5" s="5"/>
      <c r="D5" s="5"/>
      <c r="E5" s="5"/>
      <c r="F5" s="6"/>
      <c r="G5" s="486" t="s">
        <v>872</v>
      </c>
      <c r="H5" s="5"/>
      <c r="I5" s="5"/>
      <c r="J5" s="5"/>
      <c r="K5" s="18"/>
      <c r="L5" s="18"/>
      <c r="M5" s="4"/>
      <c r="N5" s="4"/>
      <c r="O5" s="4"/>
      <c r="P5" s="4"/>
      <c r="Q5" s="4"/>
      <c r="R5" s="4"/>
    </row>
    <row r="6" spans="1:18" ht="14.25" x14ac:dyDescent="0.2">
      <c r="A6" s="2"/>
      <c r="B6" s="2"/>
      <c r="C6" s="5"/>
      <c r="D6" s="5"/>
      <c r="E6" s="5"/>
      <c r="F6" s="6"/>
      <c r="G6" s="486" t="s">
        <v>919</v>
      </c>
      <c r="H6" s="5"/>
      <c r="I6" s="5"/>
      <c r="J6" s="5"/>
      <c r="K6" s="18"/>
      <c r="L6" s="18"/>
      <c r="M6" s="4"/>
      <c r="N6" s="4"/>
      <c r="O6" s="4"/>
      <c r="P6" s="4"/>
      <c r="Q6" s="4"/>
      <c r="R6" s="4"/>
    </row>
    <row r="7" spans="1:18" ht="14.25" x14ac:dyDescent="0.2">
      <c r="A7" s="2"/>
      <c r="B7" s="2"/>
      <c r="C7" s="5"/>
      <c r="D7" s="5"/>
      <c r="E7" s="5"/>
      <c r="F7" s="6"/>
      <c r="G7" s="486" t="s">
        <v>871</v>
      </c>
      <c r="H7" s="5"/>
      <c r="I7" s="5"/>
      <c r="J7" s="5"/>
      <c r="K7" s="18"/>
      <c r="L7" s="18"/>
      <c r="M7" s="4"/>
      <c r="N7" s="4"/>
      <c r="O7" s="4"/>
      <c r="P7" s="4"/>
      <c r="Q7" s="4"/>
      <c r="R7" s="4"/>
    </row>
    <row r="8" spans="1:18" ht="14.25" x14ac:dyDescent="0.2">
      <c r="A8" s="2"/>
      <c r="B8" s="2"/>
      <c r="C8" s="5"/>
      <c r="D8" s="5"/>
      <c r="E8" s="5"/>
      <c r="F8" s="6"/>
      <c r="G8" s="486" t="s">
        <v>835</v>
      </c>
      <c r="H8" s="5"/>
      <c r="I8" s="5"/>
      <c r="J8" s="5"/>
      <c r="K8" s="18"/>
      <c r="L8" s="18"/>
      <c r="M8" s="4"/>
      <c r="N8" s="4"/>
      <c r="O8" s="4"/>
      <c r="P8" s="4"/>
      <c r="Q8" s="4"/>
      <c r="R8" s="4"/>
    </row>
    <row r="9" spans="1:18" ht="14.25" x14ac:dyDescent="0.2">
      <c r="A9" s="2"/>
      <c r="B9" s="2"/>
      <c r="C9" s="5"/>
      <c r="D9" s="5"/>
      <c r="E9" s="5"/>
      <c r="F9" s="6"/>
      <c r="G9" s="340" t="s">
        <v>836</v>
      </c>
      <c r="H9" s="5"/>
      <c r="I9" s="5"/>
      <c r="J9" s="5"/>
      <c r="K9" s="18"/>
      <c r="L9" s="18"/>
      <c r="M9" s="4"/>
      <c r="N9" s="4"/>
      <c r="O9" s="4"/>
      <c r="P9" s="4"/>
      <c r="Q9" s="4"/>
      <c r="R9" s="4"/>
    </row>
    <row r="10" spans="1:18" ht="14.25" x14ac:dyDescent="0.2">
      <c r="A10" s="2"/>
      <c r="B10" s="2"/>
      <c r="C10" s="5"/>
      <c r="D10" s="5"/>
      <c r="E10" s="5"/>
      <c r="F10" s="5"/>
      <c r="G10" s="5"/>
      <c r="H10" s="5"/>
      <c r="I10" s="5"/>
      <c r="J10" s="5"/>
      <c r="K10" s="18"/>
      <c r="L10" s="18"/>
      <c r="M10" s="4"/>
      <c r="N10" s="4"/>
      <c r="O10" s="4"/>
      <c r="P10" s="4"/>
      <c r="Q10" s="4"/>
      <c r="R10" s="4"/>
    </row>
    <row r="11" spans="1:18" ht="14.25" x14ac:dyDescent="0.2">
      <c r="A11" s="2"/>
      <c r="B11" s="2"/>
      <c r="C11" s="3"/>
      <c r="D11" s="4"/>
      <c r="E11" s="4"/>
      <c r="F11" s="4"/>
      <c r="G11" s="4"/>
      <c r="H11" s="4"/>
      <c r="I11" s="4"/>
      <c r="J11" s="4"/>
      <c r="K11" s="4"/>
      <c r="L11" s="4"/>
      <c r="M11" s="4"/>
      <c r="N11" s="4"/>
      <c r="O11" s="4"/>
      <c r="P11" s="4"/>
      <c r="Q11" s="4"/>
      <c r="R11" s="4"/>
    </row>
    <row r="12" spans="1:18" ht="20.100000000000001" customHeight="1" x14ac:dyDescent="0.2">
      <c r="A12" s="2"/>
      <c r="B12" s="2"/>
      <c r="C12" s="3"/>
      <c r="D12" s="4"/>
      <c r="E12" s="874" t="s">
        <v>655</v>
      </c>
      <c r="F12" s="875" t="s">
        <v>2</v>
      </c>
      <c r="G12" s="875"/>
      <c r="H12" s="875"/>
      <c r="I12" s="885"/>
      <c r="J12" s="882" t="s">
        <v>870</v>
      </c>
      <c r="K12" s="882"/>
      <c r="L12" s="882"/>
      <c r="M12" s="882"/>
      <c r="N12" s="882"/>
      <c r="O12" s="882"/>
      <c r="P12" s="882"/>
      <c r="Q12" s="882"/>
      <c r="R12" s="4"/>
    </row>
    <row r="13" spans="1:18" ht="20.100000000000001" customHeight="1" x14ac:dyDescent="0.2">
      <c r="A13" s="2"/>
      <c r="B13" s="2"/>
      <c r="C13" s="3"/>
      <c r="D13" s="4"/>
      <c r="E13" s="874"/>
      <c r="F13" s="875" t="s">
        <v>3</v>
      </c>
      <c r="G13" s="875"/>
      <c r="H13" s="875"/>
      <c r="I13" s="885"/>
      <c r="J13" s="882" t="s">
        <v>1085</v>
      </c>
      <c r="K13" s="882"/>
      <c r="L13" s="882"/>
      <c r="M13" s="882"/>
      <c r="N13" s="882"/>
      <c r="O13" s="882"/>
      <c r="P13" s="882"/>
      <c r="Q13" s="882"/>
      <c r="R13" s="4"/>
    </row>
    <row r="14" spans="1:18" ht="57.75" customHeight="1" x14ac:dyDescent="0.2">
      <c r="A14" s="2"/>
      <c r="B14" s="2"/>
      <c r="C14" s="3"/>
      <c r="D14" s="4"/>
      <c r="E14" s="4"/>
      <c r="F14" s="875" t="s">
        <v>50</v>
      </c>
      <c r="G14" s="875"/>
      <c r="H14" s="875"/>
      <c r="I14" s="885"/>
      <c r="J14" s="878" t="s">
        <v>957</v>
      </c>
      <c r="K14" s="878"/>
      <c r="L14" s="878"/>
      <c r="M14" s="878"/>
      <c r="N14" s="878"/>
      <c r="O14" s="878"/>
      <c r="P14" s="878"/>
      <c r="Q14" s="878"/>
      <c r="R14" s="4"/>
    </row>
    <row r="15" spans="1:18" ht="14.25" x14ac:dyDescent="0.2">
      <c r="A15" s="2"/>
      <c r="B15" s="2"/>
      <c r="C15" s="3"/>
      <c r="D15" s="4"/>
      <c r="E15" s="4"/>
      <c r="F15" s="4"/>
      <c r="G15" s="4"/>
      <c r="H15" s="4"/>
      <c r="I15" s="4"/>
      <c r="J15" s="4"/>
      <c r="K15" s="4"/>
      <c r="L15" s="4"/>
      <c r="M15" s="4"/>
      <c r="N15" s="4"/>
      <c r="O15" s="4"/>
      <c r="P15" s="4"/>
      <c r="Q15" s="4"/>
      <c r="R15" s="4"/>
    </row>
    <row r="16" spans="1:18" ht="15" x14ac:dyDescent="0.2">
      <c r="A16" s="2"/>
      <c r="B16" s="2"/>
      <c r="C16" s="3"/>
      <c r="D16" s="4"/>
      <c r="E16" s="4"/>
      <c r="F16" s="871" t="s">
        <v>20</v>
      </c>
      <c r="G16" s="871"/>
      <c r="H16" s="871"/>
      <c r="I16" s="871"/>
      <c r="J16" s="871"/>
      <c r="K16" s="871"/>
      <c r="L16" s="871"/>
      <c r="M16" s="871"/>
      <c r="N16" s="871"/>
      <c r="O16" s="871"/>
      <c r="P16" s="871"/>
      <c r="Q16" s="871"/>
      <c r="R16" s="4"/>
    </row>
    <row r="17" spans="1:19" ht="9.9499999999999993" customHeight="1" x14ac:dyDescent="0.2">
      <c r="A17" s="2"/>
      <c r="B17" s="2"/>
      <c r="C17" s="3"/>
      <c r="D17" s="4"/>
      <c r="E17" s="4"/>
      <c r="F17" s="4"/>
      <c r="G17" s="4"/>
      <c r="H17" s="4"/>
      <c r="I17" s="4"/>
      <c r="J17" s="4"/>
      <c r="K17" s="4"/>
      <c r="L17" s="4"/>
      <c r="M17" s="4"/>
      <c r="N17" s="4"/>
      <c r="O17" s="4"/>
      <c r="P17" s="4"/>
      <c r="Q17" s="4"/>
      <c r="R17" s="4"/>
    </row>
    <row r="18" spans="1:19" ht="14.25" x14ac:dyDescent="0.2">
      <c r="A18" s="2"/>
      <c r="B18" s="2"/>
      <c r="C18" s="3"/>
      <c r="D18" s="4"/>
      <c r="E18" s="4"/>
      <c r="F18" s="17" t="s">
        <v>1065</v>
      </c>
      <c r="G18" s="4"/>
      <c r="H18" s="4"/>
      <c r="I18" s="4"/>
      <c r="J18" s="4"/>
      <c r="K18" s="4"/>
      <c r="L18" s="4"/>
      <c r="M18" s="4"/>
      <c r="N18" s="4"/>
      <c r="O18" s="4"/>
      <c r="P18" s="876" t="s">
        <v>868</v>
      </c>
      <c r="Q18" s="877"/>
      <c r="R18" s="4"/>
      <c r="S18" s="324" t="s">
        <v>39</v>
      </c>
    </row>
    <row r="19" spans="1:19" ht="14.25" x14ac:dyDescent="0.2">
      <c r="A19" s="2"/>
      <c r="B19" s="2"/>
      <c r="C19" s="3"/>
      <c r="D19" s="4"/>
      <c r="E19" s="4"/>
      <c r="F19" s="17" t="s">
        <v>1066</v>
      </c>
      <c r="G19" s="4"/>
      <c r="H19" s="4"/>
      <c r="I19" s="4"/>
      <c r="J19" s="4"/>
      <c r="K19" s="4"/>
      <c r="L19" s="4"/>
      <c r="M19" s="4"/>
      <c r="N19" s="4"/>
      <c r="O19" s="4"/>
      <c r="P19" s="545">
        <v>30000</v>
      </c>
      <c r="Q19" s="324" t="s">
        <v>866</v>
      </c>
      <c r="R19" s="4"/>
    </row>
    <row r="20" spans="1:19" ht="14.25" x14ac:dyDescent="0.2">
      <c r="A20" s="2"/>
      <c r="B20" s="2"/>
      <c r="C20" s="3"/>
      <c r="D20" s="4"/>
      <c r="E20" s="4"/>
      <c r="F20" s="17" t="s">
        <v>1067</v>
      </c>
      <c r="G20" s="4"/>
      <c r="H20" s="4"/>
      <c r="I20" s="4"/>
      <c r="J20" s="4"/>
      <c r="K20" s="4"/>
      <c r="L20" s="4"/>
      <c r="M20" s="4"/>
      <c r="N20" s="4"/>
      <c r="O20" s="4"/>
      <c r="P20" s="883" t="s">
        <v>864</v>
      </c>
      <c r="Q20" s="716"/>
      <c r="R20" s="4"/>
    </row>
    <row r="21" spans="1:19" ht="14.25" x14ac:dyDescent="0.2">
      <c r="A21" s="2"/>
      <c r="B21" s="2"/>
      <c r="C21" s="3"/>
      <c r="D21" s="4"/>
      <c r="E21" s="4"/>
      <c r="F21" s="4"/>
      <c r="G21" s="4"/>
      <c r="H21" s="4"/>
      <c r="I21" s="4"/>
      <c r="J21" s="4"/>
      <c r="K21" s="4"/>
      <c r="L21" s="4"/>
      <c r="M21" s="4"/>
      <c r="N21" s="4"/>
      <c r="O21" s="4"/>
      <c r="P21" s="4"/>
      <c r="Q21" s="4"/>
      <c r="R21" s="4"/>
    </row>
    <row r="22" spans="1:19" ht="15" x14ac:dyDescent="0.2">
      <c r="A22" s="2"/>
      <c r="B22" s="2"/>
      <c r="C22" s="3"/>
      <c r="D22" s="4"/>
      <c r="E22" s="4"/>
      <c r="F22" s="871" t="s">
        <v>36</v>
      </c>
      <c r="G22" s="871"/>
      <c r="H22" s="871"/>
      <c r="I22" s="871"/>
      <c r="J22" s="871"/>
      <c r="K22" s="871"/>
      <c r="L22" s="871"/>
      <c r="M22" s="871"/>
      <c r="N22" s="871"/>
      <c r="O22" s="871"/>
      <c r="P22" s="871"/>
      <c r="Q22" s="871"/>
      <c r="R22" s="4"/>
    </row>
    <row r="23" spans="1:19" ht="9.9499999999999993" customHeight="1" x14ac:dyDescent="0.2">
      <c r="A23" s="2"/>
      <c r="B23" s="2"/>
      <c r="C23" s="3"/>
      <c r="D23" s="4"/>
      <c r="E23" s="4"/>
      <c r="F23" s="4"/>
      <c r="G23" s="4"/>
      <c r="H23" s="4"/>
      <c r="I23" s="4"/>
      <c r="J23" s="4"/>
      <c r="K23" s="4"/>
      <c r="L23" s="4"/>
      <c r="M23" s="4"/>
      <c r="N23" s="4"/>
      <c r="O23" s="4"/>
      <c r="P23" s="4"/>
      <c r="Q23" s="4"/>
      <c r="R23" s="4"/>
    </row>
    <row r="24" spans="1:19" ht="14.25" customHeight="1" x14ac:dyDescent="0.2">
      <c r="A24" s="2"/>
      <c r="B24" s="2"/>
      <c r="C24" s="3"/>
      <c r="D24" s="4"/>
      <c r="E24" s="4"/>
      <c r="F24" s="17" t="s">
        <v>40</v>
      </c>
      <c r="G24" s="380"/>
      <c r="H24" s="4"/>
      <c r="I24" s="379">
        <f>Datos_transporte!H11</f>
        <v>2.1</v>
      </c>
      <c r="J24" s="378" t="s">
        <v>39</v>
      </c>
      <c r="K24" s="4"/>
      <c r="L24" s="4"/>
      <c r="M24" s="4"/>
      <c r="N24" s="4"/>
      <c r="O24" s="4"/>
      <c r="P24" s="4"/>
      <c r="Q24" s="4"/>
      <c r="R24" s="4"/>
    </row>
    <row r="25" spans="1:19" ht="15" thickBot="1" x14ac:dyDescent="0.25">
      <c r="A25" s="2"/>
      <c r="B25" s="2"/>
      <c r="C25" s="3"/>
      <c r="D25" s="4"/>
      <c r="E25" s="4"/>
      <c r="F25" s="4"/>
      <c r="G25" s="4"/>
      <c r="H25" s="4"/>
      <c r="I25" s="4"/>
      <c r="J25" s="4"/>
      <c r="K25" s="4"/>
      <c r="L25" s="4"/>
      <c r="M25" s="4"/>
      <c r="N25" s="4"/>
      <c r="O25" s="4"/>
      <c r="P25" s="4"/>
      <c r="Q25" s="4"/>
      <c r="R25" s="4"/>
    </row>
    <row r="26" spans="1:19" ht="14.25" x14ac:dyDescent="0.2">
      <c r="A26" s="2"/>
      <c r="B26" s="2"/>
      <c r="C26" s="3"/>
      <c r="D26" s="4"/>
      <c r="E26" s="4"/>
      <c r="F26" s="367"/>
      <c r="G26" s="368"/>
      <c r="H26" s="368"/>
      <c r="I26" s="368"/>
      <c r="J26" s="369"/>
      <c r="K26" s="4"/>
      <c r="L26" s="4"/>
      <c r="M26" s="4"/>
      <c r="N26" s="4"/>
      <c r="O26" s="4"/>
      <c r="P26" s="4"/>
      <c r="Q26" s="4"/>
      <c r="R26" s="4"/>
    </row>
    <row r="27" spans="1:19" ht="14.25" x14ac:dyDescent="0.2">
      <c r="A27" s="2"/>
      <c r="B27" s="2"/>
      <c r="C27" s="3"/>
      <c r="D27" s="4"/>
      <c r="E27" s="4"/>
      <c r="F27" s="370"/>
      <c r="G27" s="332"/>
      <c r="H27" s="333" t="s">
        <v>691</v>
      </c>
      <c r="I27" s="333"/>
      <c r="J27" s="371"/>
      <c r="K27" s="4"/>
      <c r="L27" s="4"/>
      <c r="M27" s="4"/>
      <c r="N27" s="4"/>
      <c r="O27" s="4"/>
      <c r="P27" s="4"/>
      <c r="Q27" s="4"/>
      <c r="R27" s="4"/>
    </row>
    <row r="28" spans="1:19" ht="14.25" x14ac:dyDescent="0.2">
      <c r="A28" s="2"/>
      <c r="B28" s="2"/>
      <c r="C28" s="3"/>
      <c r="D28" s="4"/>
      <c r="E28" s="4"/>
      <c r="F28" s="370"/>
      <c r="G28" s="332"/>
      <c r="H28" s="333" t="s">
        <v>692</v>
      </c>
      <c r="I28" s="333"/>
      <c r="J28" s="371"/>
      <c r="K28" s="4"/>
      <c r="L28" s="4"/>
      <c r="M28" s="4"/>
      <c r="N28" s="4"/>
      <c r="O28" s="4"/>
      <c r="P28" s="4"/>
      <c r="Q28" s="4"/>
      <c r="R28" s="4"/>
    </row>
    <row r="29" spans="1:19" ht="14.25" x14ac:dyDescent="0.2">
      <c r="A29" s="2"/>
      <c r="B29" s="2"/>
      <c r="C29" s="3"/>
      <c r="D29" s="4"/>
      <c r="E29" s="4"/>
      <c r="F29" s="370"/>
      <c r="G29" s="332"/>
      <c r="H29" s="332"/>
      <c r="I29" s="37"/>
      <c r="J29" s="372"/>
      <c r="K29" s="4"/>
      <c r="L29" s="4"/>
      <c r="M29" s="4"/>
      <c r="N29" s="4"/>
      <c r="O29" s="4"/>
      <c r="P29" s="4"/>
      <c r="Q29" s="4"/>
      <c r="R29" s="4"/>
    </row>
    <row r="30" spans="1:19" ht="14.25" x14ac:dyDescent="0.2">
      <c r="A30" s="2"/>
      <c r="B30" s="2"/>
      <c r="C30" s="3"/>
      <c r="D30" s="4"/>
      <c r="E30" s="4"/>
      <c r="F30" s="370"/>
      <c r="G30" s="332"/>
      <c r="H30" s="880">
        <f>ROUND(16.4*$I$24,0)</f>
        <v>34</v>
      </c>
      <c r="I30" s="880"/>
      <c r="J30" s="881" t="s">
        <v>690</v>
      </c>
      <c r="K30" s="4"/>
      <c r="L30" s="4"/>
      <c r="M30" s="4"/>
      <c r="N30" s="4"/>
      <c r="O30" s="4"/>
      <c r="P30" s="4"/>
      <c r="Q30" s="4"/>
      <c r="R30" s="4"/>
    </row>
    <row r="31" spans="1:19" ht="14.25" x14ac:dyDescent="0.2">
      <c r="A31" s="2"/>
      <c r="B31" s="2"/>
      <c r="C31" s="3"/>
      <c r="D31" s="4"/>
      <c r="E31" s="4"/>
      <c r="F31" s="370"/>
      <c r="G31" s="332"/>
      <c r="H31" s="880"/>
      <c r="I31" s="880"/>
      <c r="J31" s="881"/>
      <c r="K31" s="4"/>
      <c r="L31" s="4"/>
      <c r="M31" s="4"/>
      <c r="N31" s="4"/>
      <c r="O31" s="4"/>
      <c r="P31" s="4"/>
      <c r="Q31" s="4"/>
      <c r="R31" s="4"/>
    </row>
    <row r="32" spans="1:19" ht="15" thickBot="1" x14ac:dyDescent="0.25">
      <c r="A32" s="2"/>
      <c r="B32" s="2"/>
      <c r="C32" s="3"/>
      <c r="D32" s="4"/>
      <c r="E32" s="4"/>
      <c r="F32" s="373"/>
      <c r="G32" s="374"/>
      <c r="H32" s="374"/>
      <c r="I32" s="374"/>
      <c r="J32" s="375"/>
      <c r="K32" s="4"/>
      <c r="L32" s="4"/>
      <c r="M32" s="4"/>
      <c r="N32" s="4"/>
      <c r="O32" s="4"/>
      <c r="P32" s="4"/>
      <c r="Q32" s="4"/>
      <c r="R32" s="4"/>
    </row>
    <row r="33" spans="1:18" ht="14.25" x14ac:dyDescent="0.2">
      <c r="A33" s="2"/>
      <c r="B33" s="2"/>
      <c r="C33" s="3"/>
      <c r="D33" s="4"/>
      <c r="E33" s="4"/>
      <c r="F33" s="4"/>
      <c r="G33" s="4"/>
      <c r="H33" s="4"/>
      <c r="I33" s="4"/>
      <c r="J33" s="4"/>
      <c r="K33" s="4"/>
      <c r="L33" s="4"/>
      <c r="M33" s="4"/>
      <c r="N33" s="4"/>
      <c r="O33" s="4"/>
      <c r="P33" s="4"/>
      <c r="Q33" s="4"/>
      <c r="R33" s="4"/>
    </row>
    <row r="34" spans="1:18" ht="14.25" x14ac:dyDescent="0.2">
      <c r="A34" s="2"/>
      <c r="B34" s="2"/>
      <c r="C34" s="3"/>
      <c r="D34" s="4"/>
      <c r="E34" s="4"/>
      <c r="F34" s="4"/>
      <c r="G34" s="4"/>
      <c r="H34" s="4"/>
      <c r="I34" s="4"/>
      <c r="J34" s="4"/>
      <c r="K34" s="4"/>
      <c r="L34" s="4"/>
      <c r="M34" s="4"/>
      <c r="N34" s="4"/>
      <c r="O34" s="4"/>
      <c r="P34" s="4"/>
      <c r="Q34" s="4"/>
      <c r="R34" s="4"/>
    </row>
    <row r="35" spans="1:18" ht="20.100000000000001" customHeight="1" x14ac:dyDescent="0.2">
      <c r="A35" s="2"/>
      <c r="B35" s="2"/>
      <c r="C35" s="3"/>
      <c r="D35" s="4"/>
      <c r="E35" s="874" t="s">
        <v>656</v>
      </c>
      <c r="F35" s="875" t="s">
        <v>2</v>
      </c>
      <c r="G35" s="875"/>
      <c r="H35" s="875"/>
      <c r="I35" s="875"/>
      <c r="J35" s="882" t="s">
        <v>914</v>
      </c>
      <c r="K35" s="882"/>
      <c r="L35" s="882"/>
      <c r="M35" s="882"/>
      <c r="N35" s="882"/>
      <c r="O35" s="882"/>
      <c r="P35" s="882"/>
      <c r="Q35" s="882"/>
      <c r="R35" s="4"/>
    </row>
    <row r="36" spans="1:18" ht="20.100000000000001" customHeight="1" x14ac:dyDescent="0.2">
      <c r="A36" s="2"/>
      <c r="B36" s="2"/>
      <c r="C36" s="3"/>
      <c r="D36" s="4"/>
      <c r="E36" s="874"/>
      <c r="F36" s="875" t="s">
        <v>3</v>
      </c>
      <c r="G36" s="875"/>
      <c r="H36" s="875"/>
      <c r="I36" s="875"/>
      <c r="J36" s="882" t="s">
        <v>1085</v>
      </c>
      <c r="K36" s="882"/>
      <c r="L36" s="882"/>
      <c r="M36" s="882"/>
      <c r="N36" s="882"/>
      <c r="O36" s="882"/>
      <c r="P36" s="882"/>
      <c r="Q36" s="882"/>
      <c r="R36" s="4"/>
    </row>
    <row r="37" spans="1:18" ht="70.5" customHeight="1" x14ac:dyDescent="0.2">
      <c r="A37" s="2"/>
      <c r="B37" s="2"/>
      <c r="C37" s="3"/>
      <c r="D37" s="4"/>
      <c r="E37" s="4"/>
      <c r="F37" s="875" t="s">
        <v>50</v>
      </c>
      <c r="G37" s="875"/>
      <c r="H37" s="875"/>
      <c r="I37" s="875"/>
      <c r="J37" s="878" t="s">
        <v>958</v>
      </c>
      <c r="K37" s="878"/>
      <c r="L37" s="878"/>
      <c r="M37" s="878"/>
      <c r="N37" s="878"/>
      <c r="O37" s="878"/>
      <c r="P37" s="878"/>
      <c r="Q37" s="878"/>
      <c r="R37" s="4"/>
    </row>
    <row r="38" spans="1:18" ht="14.25" x14ac:dyDescent="0.2">
      <c r="A38" s="2"/>
      <c r="B38" s="2"/>
      <c r="C38" s="3"/>
      <c r="D38" s="4"/>
      <c r="E38" s="4"/>
      <c r="F38" s="4"/>
      <c r="G38" s="4"/>
      <c r="H38" s="4"/>
      <c r="I38" s="4"/>
      <c r="J38" s="4"/>
      <c r="K38" s="4"/>
      <c r="L38" s="4"/>
      <c r="M38" s="4"/>
      <c r="N38" s="4"/>
      <c r="O38" s="4"/>
      <c r="P38" s="4"/>
      <c r="Q38" s="4"/>
      <c r="R38" s="4"/>
    </row>
    <row r="39" spans="1:18" ht="15" x14ac:dyDescent="0.2">
      <c r="A39" s="2"/>
      <c r="B39" s="2"/>
      <c r="C39" s="3"/>
      <c r="D39" s="4"/>
      <c r="E39" s="4"/>
      <c r="F39" s="871" t="s">
        <v>20</v>
      </c>
      <c r="G39" s="871"/>
      <c r="H39" s="871"/>
      <c r="I39" s="871"/>
      <c r="J39" s="871"/>
      <c r="K39" s="871"/>
      <c r="L39" s="871"/>
      <c r="M39" s="871"/>
      <c r="N39" s="871"/>
      <c r="O39" s="871"/>
      <c r="P39" s="871"/>
      <c r="Q39" s="871"/>
      <c r="R39" s="4"/>
    </row>
    <row r="40" spans="1:18" ht="9.9499999999999993" customHeight="1" x14ac:dyDescent="0.2">
      <c r="A40" s="2"/>
      <c r="B40" s="2"/>
      <c r="C40" s="3"/>
      <c r="D40" s="4"/>
      <c r="E40" s="4"/>
      <c r="F40" s="4"/>
      <c r="G40" s="4"/>
      <c r="H40" s="4"/>
      <c r="I40" s="4"/>
      <c r="J40" s="4"/>
      <c r="K40" s="4"/>
      <c r="L40" s="4"/>
      <c r="M40" s="4"/>
      <c r="N40" s="4"/>
      <c r="O40" s="4"/>
      <c r="P40" s="4"/>
      <c r="Q40" s="4"/>
      <c r="R40" s="4"/>
    </row>
    <row r="41" spans="1:18" ht="14.25" customHeight="1" x14ac:dyDescent="0.2">
      <c r="A41" s="2"/>
      <c r="B41" s="2"/>
      <c r="C41" s="3"/>
      <c r="D41" s="4"/>
      <c r="E41" s="4"/>
      <c r="F41" s="17" t="s">
        <v>964</v>
      </c>
      <c r="G41" s="4"/>
      <c r="H41" s="4"/>
      <c r="I41" s="4"/>
      <c r="J41" s="4"/>
      <c r="K41" s="4"/>
      <c r="L41" s="4"/>
      <c r="M41" s="4"/>
      <c r="N41" s="4"/>
      <c r="O41" s="4"/>
      <c r="P41" s="879" t="s">
        <v>908</v>
      </c>
      <c r="Q41" s="879"/>
      <c r="R41" s="4"/>
    </row>
    <row r="42" spans="1:18" ht="14.25" x14ac:dyDescent="0.2">
      <c r="A42" s="2"/>
      <c r="B42" s="2"/>
      <c r="C42" s="3"/>
      <c r="D42" s="4"/>
      <c r="E42" s="4"/>
      <c r="F42" s="17" t="s">
        <v>1068</v>
      </c>
      <c r="G42" s="4"/>
      <c r="H42" s="427" t="str">
        <f>IF($P$41="Parámetros de recarga","Potencia del cargador [AC]",IF($P$41="Características de la batería","Capacidad del banco de baterías",""))</f>
        <v>Potencia del cargador [AC]</v>
      </c>
      <c r="I42" s="4"/>
      <c r="J42" s="4"/>
      <c r="K42" s="4"/>
      <c r="L42" s="4"/>
      <c r="M42" s="4"/>
      <c r="N42" s="4"/>
      <c r="O42" s="4"/>
      <c r="P42" s="545">
        <v>2000</v>
      </c>
      <c r="Q42" s="324" t="str">
        <f>IF($P$41="Parámetros de recarga","W",IF($P$41="Características de la batería","Ah",""))</f>
        <v>W</v>
      </c>
      <c r="R42" s="4"/>
    </row>
    <row r="43" spans="1:18" ht="14.25" x14ac:dyDescent="0.2">
      <c r="A43" s="2"/>
      <c r="B43" s="2"/>
      <c r="C43" s="3"/>
      <c r="D43" s="4"/>
      <c r="E43" s="4"/>
      <c r="F43" s="17" t="s">
        <v>1069</v>
      </c>
      <c r="G43" s="4"/>
      <c r="H43" s="427" t="str">
        <f>IF($P$41="Parámetros de recarga","Tiempo de carga",IF($P$41="Características de la batería","Voltaje de batería VDC",""))</f>
        <v>Tiempo de carga</v>
      </c>
      <c r="I43" s="4"/>
      <c r="J43" s="4"/>
      <c r="K43" s="4"/>
      <c r="L43" s="4"/>
      <c r="M43" s="4"/>
      <c r="N43" s="4"/>
      <c r="O43" s="4"/>
      <c r="P43" s="545">
        <v>12</v>
      </c>
      <c r="Q43" s="343" t="str">
        <f>IF($P$41="Parámetros de recarga","h",IF($P$41="Características de la batería","VDC",""))</f>
        <v>h</v>
      </c>
      <c r="R43" s="4"/>
    </row>
    <row r="44" spans="1:18" ht="14.25" x14ac:dyDescent="0.2">
      <c r="A44" s="2"/>
      <c r="B44" s="2"/>
      <c r="C44" s="3"/>
      <c r="D44" s="4"/>
      <c r="E44" s="4"/>
      <c r="F44" s="17" t="s">
        <v>1070</v>
      </c>
      <c r="G44" s="4"/>
      <c r="H44" s="4"/>
      <c r="I44" s="4"/>
      <c r="J44" s="4"/>
      <c r="K44" s="4"/>
      <c r="L44" s="4"/>
      <c r="M44" s="4"/>
      <c r="N44" s="4"/>
      <c r="O44" s="4"/>
      <c r="P44" s="545">
        <v>200</v>
      </c>
      <c r="Q44" s="343" t="s">
        <v>901</v>
      </c>
      <c r="R44" s="4"/>
    </row>
    <row r="45" spans="1:18" ht="14.25" x14ac:dyDescent="0.2">
      <c r="A45" s="2"/>
      <c r="B45" s="2"/>
      <c r="C45" s="3"/>
      <c r="D45" s="4"/>
      <c r="E45" s="4"/>
      <c r="F45" s="17" t="s">
        <v>1071</v>
      </c>
      <c r="G45" s="4"/>
      <c r="H45" s="4"/>
      <c r="I45" s="4"/>
      <c r="J45" s="4"/>
      <c r="K45" s="4"/>
      <c r="L45" s="4"/>
      <c r="M45" s="4"/>
      <c r="N45" s="4"/>
      <c r="O45" s="4"/>
      <c r="P45" s="872" t="s">
        <v>868</v>
      </c>
      <c r="Q45" s="873"/>
      <c r="R45" s="4"/>
    </row>
    <row r="46" spans="1:18" ht="14.25" x14ac:dyDescent="0.2">
      <c r="A46" s="2"/>
      <c r="B46" s="2"/>
      <c r="C46" s="3"/>
      <c r="D46" s="4"/>
      <c r="E46" s="4"/>
      <c r="F46" s="17" t="s">
        <v>1072</v>
      </c>
      <c r="G46" s="4"/>
      <c r="H46" s="4"/>
      <c r="I46" s="4"/>
      <c r="J46" s="4"/>
      <c r="K46" s="4"/>
      <c r="L46" s="4"/>
      <c r="M46" s="4"/>
      <c r="N46" s="4"/>
      <c r="O46" s="4"/>
      <c r="P46" s="545">
        <v>30000</v>
      </c>
      <c r="Q46" s="343" t="s">
        <v>866</v>
      </c>
      <c r="R46" s="4"/>
    </row>
    <row r="47" spans="1:18" ht="14.25" customHeight="1" x14ac:dyDescent="0.2">
      <c r="A47" s="2"/>
      <c r="B47" s="2"/>
      <c r="C47" s="3"/>
      <c r="D47" s="4"/>
      <c r="E47" s="4"/>
      <c r="F47" s="17" t="s">
        <v>1073</v>
      </c>
      <c r="G47" s="4"/>
      <c r="H47" s="4"/>
      <c r="I47" s="4"/>
      <c r="J47" s="4"/>
      <c r="K47" s="4"/>
      <c r="L47" s="4"/>
      <c r="M47" s="4"/>
      <c r="N47" s="4"/>
      <c r="O47" s="4"/>
      <c r="P47" s="883" t="s">
        <v>896</v>
      </c>
      <c r="Q47" s="716"/>
      <c r="R47" s="4"/>
    </row>
    <row r="48" spans="1:18" ht="14.25" x14ac:dyDescent="0.2">
      <c r="A48" s="2"/>
      <c r="B48" s="2"/>
      <c r="C48" s="3"/>
      <c r="D48" s="4"/>
      <c r="E48" s="4"/>
      <c r="F48" s="17"/>
      <c r="G48" s="4"/>
      <c r="H48" s="4"/>
      <c r="I48" s="4"/>
      <c r="J48" s="4"/>
      <c r="K48" s="4"/>
      <c r="L48" s="4"/>
      <c r="M48" s="4"/>
      <c r="N48" s="4"/>
      <c r="O48" s="4"/>
      <c r="P48" s="4"/>
      <c r="Q48" s="4"/>
      <c r="R48" s="4"/>
    </row>
    <row r="49" spans="1:18" ht="15" x14ac:dyDescent="0.2">
      <c r="A49" s="2"/>
      <c r="B49" s="2"/>
      <c r="C49" s="3"/>
      <c r="D49" s="4"/>
      <c r="E49" s="4"/>
      <c r="F49" s="871" t="s">
        <v>36</v>
      </c>
      <c r="G49" s="871"/>
      <c r="H49" s="871"/>
      <c r="I49" s="871"/>
      <c r="J49" s="871"/>
      <c r="K49" s="871"/>
      <c r="L49" s="871"/>
      <c r="M49" s="871"/>
      <c r="N49" s="871"/>
      <c r="O49" s="871"/>
      <c r="P49" s="871"/>
      <c r="Q49" s="871"/>
      <c r="R49" s="4"/>
    </row>
    <row r="50" spans="1:18" ht="9.9499999999999993" customHeight="1" x14ac:dyDescent="0.2">
      <c r="A50" s="2"/>
      <c r="B50" s="2"/>
      <c r="C50" s="3"/>
      <c r="D50" s="4"/>
      <c r="E50" s="4"/>
      <c r="F50" s="4"/>
      <c r="G50" s="4"/>
      <c r="H50" s="4"/>
      <c r="I50" s="4"/>
      <c r="J50" s="4"/>
      <c r="K50" s="4"/>
      <c r="L50" s="4"/>
      <c r="M50" s="4"/>
      <c r="N50" s="4"/>
      <c r="O50" s="4"/>
      <c r="P50" s="4"/>
      <c r="Q50" s="4"/>
      <c r="R50" s="4"/>
    </row>
    <row r="51" spans="1:18" ht="14.25" customHeight="1" x14ac:dyDescent="0.2">
      <c r="A51" s="2"/>
      <c r="B51" s="2"/>
      <c r="C51" s="3"/>
      <c r="D51" s="4"/>
      <c r="E51" s="4"/>
      <c r="F51" s="17" t="s">
        <v>40</v>
      </c>
      <c r="G51" s="380"/>
      <c r="H51" s="4"/>
      <c r="I51" s="478">
        <f>Datos_transporte!H28</f>
        <v>2.5369200000000003</v>
      </c>
      <c r="J51" s="378" t="s">
        <v>39</v>
      </c>
      <c r="K51" s="4"/>
      <c r="L51" s="4"/>
      <c r="M51" s="4"/>
      <c r="N51" s="4"/>
      <c r="O51" s="4"/>
      <c r="P51" s="4"/>
      <c r="Q51" s="4"/>
      <c r="R51" s="4"/>
    </row>
    <row r="52" spans="1:18" ht="15" thickBot="1" x14ac:dyDescent="0.25">
      <c r="A52" s="2"/>
      <c r="B52" s="2"/>
      <c r="C52" s="3"/>
      <c r="D52" s="4"/>
      <c r="E52" s="4"/>
      <c r="F52" s="380"/>
      <c r="G52" s="380"/>
      <c r="H52" s="4"/>
      <c r="I52" s="378"/>
      <c r="J52" s="4"/>
      <c r="K52" s="4"/>
      <c r="L52" s="4"/>
      <c r="M52" s="4"/>
      <c r="N52" s="4"/>
      <c r="O52" s="4"/>
      <c r="P52" s="4"/>
      <c r="Q52" s="4"/>
      <c r="R52" s="4"/>
    </row>
    <row r="53" spans="1:18" ht="14.25" x14ac:dyDescent="0.2">
      <c r="A53" s="2"/>
      <c r="B53" s="2"/>
      <c r="C53" s="3"/>
      <c r="D53" s="4"/>
      <c r="E53" s="4"/>
      <c r="F53" s="367"/>
      <c r="G53" s="368"/>
      <c r="H53" s="368"/>
      <c r="I53" s="368"/>
      <c r="J53" s="369"/>
      <c r="K53" s="4"/>
      <c r="L53" s="4"/>
      <c r="M53" s="4"/>
      <c r="N53" s="4"/>
      <c r="O53" s="4"/>
      <c r="P53" s="4"/>
      <c r="Q53" s="4"/>
      <c r="R53" s="4"/>
    </row>
    <row r="54" spans="1:18" ht="14.25" x14ac:dyDescent="0.2">
      <c r="A54" s="2"/>
      <c r="B54" s="2"/>
      <c r="C54" s="3"/>
      <c r="D54" s="4"/>
      <c r="E54" s="4"/>
      <c r="F54" s="370"/>
      <c r="G54" s="332"/>
      <c r="H54" s="333" t="s">
        <v>691</v>
      </c>
      <c r="I54" s="333"/>
      <c r="J54" s="371"/>
      <c r="K54" s="4"/>
      <c r="L54" s="4"/>
      <c r="M54" s="4"/>
      <c r="N54" s="4"/>
      <c r="O54" s="4"/>
      <c r="P54" s="4"/>
      <c r="Q54" s="4"/>
      <c r="R54" s="4"/>
    </row>
    <row r="55" spans="1:18" ht="14.25" x14ac:dyDescent="0.2">
      <c r="A55" s="2"/>
      <c r="B55" s="2"/>
      <c r="C55" s="3"/>
      <c r="D55" s="4"/>
      <c r="E55" s="4"/>
      <c r="F55" s="370"/>
      <c r="G55" s="332"/>
      <c r="H55" s="333" t="s">
        <v>692</v>
      </c>
      <c r="I55" s="333"/>
      <c r="J55" s="371"/>
      <c r="K55" s="4"/>
      <c r="L55" s="4"/>
      <c r="M55" s="4"/>
      <c r="N55" s="4"/>
      <c r="O55" s="4"/>
      <c r="P55" s="4"/>
      <c r="Q55" s="4"/>
      <c r="R55" s="4"/>
    </row>
    <row r="56" spans="1:18" ht="14.25" x14ac:dyDescent="0.2">
      <c r="A56" s="2"/>
      <c r="B56" s="2"/>
      <c r="C56" s="3"/>
      <c r="D56" s="4"/>
      <c r="E56" s="4"/>
      <c r="F56" s="370"/>
      <c r="G56" s="332"/>
      <c r="H56" s="332"/>
      <c r="I56" s="37"/>
      <c r="J56" s="372"/>
      <c r="K56" s="4"/>
      <c r="L56" s="4"/>
      <c r="M56" s="4"/>
      <c r="N56" s="4"/>
      <c r="O56" s="4"/>
      <c r="P56" s="4"/>
      <c r="Q56" s="4"/>
      <c r="R56" s="4"/>
    </row>
    <row r="57" spans="1:18" ht="14.25" x14ac:dyDescent="0.2">
      <c r="A57" s="2"/>
      <c r="B57" s="2"/>
      <c r="C57" s="3"/>
      <c r="D57" s="4"/>
      <c r="E57" s="4"/>
      <c r="F57" s="370"/>
      <c r="G57" s="332"/>
      <c r="H57" s="880">
        <f>ROUND(16.4*$I$24,0)</f>
        <v>34</v>
      </c>
      <c r="I57" s="880"/>
      <c r="J57" s="881" t="s">
        <v>690</v>
      </c>
      <c r="K57" s="4"/>
      <c r="L57" s="4"/>
      <c r="M57" s="4"/>
      <c r="N57" s="4"/>
      <c r="O57" s="4"/>
      <c r="P57" s="4"/>
      <c r="Q57" s="4"/>
      <c r="R57" s="4"/>
    </row>
    <row r="58" spans="1:18" ht="14.25" x14ac:dyDescent="0.2">
      <c r="A58" s="2"/>
      <c r="B58" s="2"/>
      <c r="C58" s="3"/>
      <c r="D58" s="4"/>
      <c r="E58" s="4"/>
      <c r="F58" s="370"/>
      <c r="G58" s="332"/>
      <c r="H58" s="880"/>
      <c r="I58" s="880"/>
      <c r="J58" s="881"/>
      <c r="K58" s="4"/>
      <c r="L58" s="4"/>
      <c r="M58" s="4"/>
      <c r="N58" s="4"/>
      <c r="O58" s="4"/>
      <c r="P58" s="4"/>
      <c r="Q58" s="4"/>
      <c r="R58" s="4"/>
    </row>
    <row r="59" spans="1:18" ht="15" thickBot="1" x14ac:dyDescent="0.25">
      <c r="A59" s="2"/>
      <c r="B59" s="2"/>
      <c r="C59" s="3"/>
      <c r="D59" s="4"/>
      <c r="E59" s="4"/>
      <c r="F59" s="373"/>
      <c r="G59" s="374"/>
      <c r="H59" s="374"/>
      <c r="I59" s="374"/>
      <c r="J59" s="375"/>
      <c r="K59" s="4"/>
      <c r="L59" s="4"/>
      <c r="M59" s="4"/>
      <c r="N59" s="4"/>
      <c r="O59" s="4"/>
      <c r="P59" s="4"/>
      <c r="Q59" s="4"/>
      <c r="R59" s="4"/>
    </row>
    <row r="60" spans="1:18" ht="14.25" x14ac:dyDescent="0.2">
      <c r="A60" s="2"/>
      <c r="B60" s="2"/>
      <c r="C60" s="3"/>
      <c r="D60" s="4"/>
      <c r="E60" s="4"/>
      <c r="F60" s="17"/>
      <c r="G60" s="4"/>
      <c r="H60" s="4"/>
      <c r="I60" s="4"/>
      <c r="J60" s="4"/>
      <c r="K60" s="4"/>
      <c r="L60" s="4"/>
      <c r="M60" s="4"/>
      <c r="N60" s="4"/>
      <c r="O60" s="4"/>
      <c r="P60" s="4"/>
      <c r="Q60" s="4"/>
      <c r="R60" s="4"/>
    </row>
    <row r="61" spans="1:18" ht="14.25" x14ac:dyDescent="0.2">
      <c r="A61" s="2"/>
      <c r="B61" s="2"/>
      <c r="C61" s="3"/>
      <c r="D61" s="4"/>
      <c r="E61" s="4"/>
      <c r="F61" s="17"/>
      <c r="G61" s="4"/>
      <c r="H61" s="4"/>
      <c r="I61" s="4"/>
      <c r="J61" s="4"/>
      <c r="K61" s="4"/>
      <c r="L61" s="4"/>
      <c r="M61" s="4"/>
      <c r="N61" s="4"/>
      <c r="O61" s="4"/>
      <c r="P61" s="4"/>
      <c r="Q61" s="4"/>
      <c r="R61" s="4"/>
    </row>
    <row r="62" spans="1:18" ht="20.100000000000001" customHeight="1" x14ac:dyDescent="0.2">
      <c r="A62" s="2"/>
      <c r="B62" s="2"/>
      <c r="C62" s="3"/>
      <c r="D62" s="4"/>
      <c r="E62" s="874" t="s">
        <v>658</v>
      </c>
      <c r="F62" s="875" t="s">
        <v>2</v>
      </c>
      <c r="G62" s="875"/>
      <c r="H62" s="875"/>
      <c r="I62" s="875"/>
      <c r="J62" s="882" t="s">
        <v>657</v>
      </c>
      <c r="K62" s="882"/>
      <c r="L62" s="882"/>
      <c r="M62" s="882"/>
      <c r="N62" s="882"/>
      <c r="O62" s="882"/>
      <c r="P62" s="882"/>
      <c r="Q62" s="882"/>
      <c r="R62" s="4"/>
    </row>
    <row r="63" spans="1:18" ht="20.100000000000001" customHeight="1" x14ac:dyDescent="0.2">
      <c r="A63" s="2"/>
      <c r="B63" s="2"/>
      <c r="C63" s="3"/>
      <c r="D63" s="4"/>
      <c r="E63" s="874"/>
      <c r="F63" s="875" t="s">
        <v>3</v>
      </c>
      <c r="G63" s="875"/>
      <c r="H63" s="875"/>
      <c r="I63" s="875"/>
      <c r="J63" s="882" t="s">
        <v>1085</v>
      </c>
      <c r="K63" s="882"/>
      <c r="L63" s="882"/>
      <c r="M63" s="882"/>
      <c r="N63" s="882"/>
      <c r="O63" s="882"/>
      <c r="P63" s="882"/>
      <c r="Q63" s="882"/>
      <c r="R63" s="4"/>
    </row>
    <row r="64" spans="1:18" ht="36" customHeight="1" x14ac:dyDescent="0.2">
      <c r="A64" s="2"/>
      <c r="B64" s="2"/>
      <c r="C64" s="3"/>
      <c r="D64" s="4"/>
      <c r="E64" s="4"/>
      <c r="F64" s="875" t="s">
        <v>50</v>
      </c>
      <c r="G64" s="875"/>
      <c r="H64" s="875"/>
      <c r="I64" s="875"/>
      <c r="J64" s="878" t="s">
        <v>959</v>
      </c>
      <c r="K64" s="878"/>
      <c r="L64" s="878"/>
      <c r="M64" s="878"/>
      <c r="N64" s="878"/>
      <c r="O64" s="878"/>
      <c r="P64" s="878"/>
      <c r="Q64" s="878"/>
      <c r="R64" s="4"/>
    </row>
    <row r="65" spans="1:18" ht="14.25" x14ac:dyDescent="0.2">
      <c r="A65" s="2"/>
      <c r="B65" s="2"/>
      <c r="C65" s="3"/>
      <c r="D65" s="4"/>
      <c r="E65" s="4"/>
      <c r="F65" s="4"/>
      <c r="G65" s="4"/>
      <c r="H65" s="4"/>
      <c r="I65" s="4"/>
      <c r="J65" s="4"/>
      <c r="K65" s="4"/>
      <c r="L65" s="4"/>
      <c r="M65" s="4"/>
      <c r="N65" s="4"/>
      <c r="O65" s="4"/>
      <c r="P65" s="4"/>
      <c r="Q65" s="4"/>
      <c r="R65" s="4"/>
    </row>
    <row r="66" spans="1:18" ht="15" x14ac:dyDescent="0.2">
      <c r="A66" s="2"/>
      <c r="B66" s="2"/>
      <c r="C66" s="3"/>
      <c r="D66" s="4"/>
      <c r="E66" s="4"/>
      <c r="F66" s="871" t="s">
        <v>20</v>
      </c>
      <c r="G66" s="871"/>
      <c r="H66" s="871"/>
      <c r="I66" s="871"/>
      <c r="J66" s="871"/>
      <c r="K66" s="871"/>
      <c r="L66" s="871"/>
      <c r="M66" s="871"/>
      <c r="N66" s="871"/>
      <c r="O66" s="871"/>
      <c r="P66" s="871"/>
      <c r="Q66" s="871"/>
      <c r="R66" s="4"/>
    </row>
    <row r="67" spans="1:18" ht="9.9499999999999993" customHeight="1" x14ac:dyDescent="0.2">
      <c r="A67" s="2"/>
      <c r="B67" s="2"/>
      <c r="C67" s="3"/>
      <c r="D67" s="4"/>
      <c r="E67" s="4"/>
      <c r="F67" s="4"/>
      <c r="G67" s="4"/>
      <c r="H67" s="4"/>
      <c r="I67" s="4"/>
      <c r="J67" s="4"/>
      <c r="K67" s="4"/>
      <c r="L67" s="4"/>
      <c r="M67" s="4"/>
      <c r="N67" s="4"/>
      <c r="O67" s="4"/>
      <c r="P67" s="4"/>
      <c r="Q67" s="4"/>
      <c r="R67" s="4"/>
    </row>
    <row r="68" spans="1:18" ht="14.25" x14ac:dyDescent="0.2">
      <c r="A68" s="2"/>
      <c r="B68" s="2"/>
      <c r="C68" s="3"/>
      <c r="D68" s="4"/>
      <c r="E68" s="4"/>
      <c r="F68" s="17" t="s">
        <v>1074</v>
      </c>
      <c r="G68" s="4"/>
      <c r="H68" s="4"/>
      <c r="I68" s="4"/>
      <c r="J68" s="4"/>
      <c r="K68" s="4"/>
      <c r="L68" s="4"/>
      <c r="M68" s="4"/>
      <c r="N68" s="4"/>
      <c r="O68" s="4"/>
      <c r="P68" s="545">
        <v>10</v>
      </c>
      <c r="Q68" s="324" t="s">
        <v>916</v>
      </c>
      <c r="R68" s="4"/>
    </row>
    <row r="69" spans="1:18" ht="14.25" x14ac:dyDescent="0.2">
      <c r="A69" s="2"/>
      <c r="B69" s="2"/>
      <c r="C69" s="3"/>
      <c r="D69" s="4"/>
      <c r="E69" s="4"/>
      <c r="F69" s="17" t="s">
        <v>1075</v>
      </c>
      <c r="G69" s="4"/>
      <c r="H69" s="4"/>
      <c r="I69" s="4"/>
      <c r="J69" s="4"/>
      <c r="K69" s="4"/>
      <c r="L69" s="4"/>
      <c r="M69" s="4"/>
      <c r="N69" s="4"/>
      <c r="O69" s="4"/>
      <c r="P69" s="876" t="s">
        <v>889</v>
      </c>
      <c r="Q69" s="877"/>
      <c r="R69" s="4"/>
    </row>
    <row r="70" spans="1:18" ht="14.25" x14ac:dyDescent="0.2">
      <c r="A70" s="2"/>
      <c r="B70" s="2"/>
      <c r="C70" s="3"/>
      <c r="D70" s="4"/>
      <c r="E70" s="4"/>
      <c r="F70" s="4"/>
      <c r="G70" s="4"/>
      <c r="H70" s="4"/>
      <c r="I70" s="4"/>
      <c r="J70" s="4"/>
      <c r="K70" s="4"/>
      <c r="L70" s="4"/>
      <c r="M70" s="4"/>
      <c r="N70" s="4"/>
      <c r="O70" s="4"/>
      <c r="P70" s="4"/>
      <c r="Q70" s="4"/>
      <c r="R70" s="4"/>
    </row>
    <row r="71" spans="1:18" ht="15" x14ac:dyDescent="0.2">
      <c r="A71" s="2"/>
      <c r="B71" s="2"/>
      <c r="C71" s="3"/>
      <c r="D71" s="4"/>
      <c r="E71" s="4"/>
      <c r="F71" s="871" t="s">
        <v>36</v>
      </c>
      <c r="G71" s="871"/>
      <c r="H71" s="871"/>
      <c r="I71" s="871"/>
      <c r="J71" s="871"/>
      <c r="K71" s="871"/>
      <c r="L71" s="871"/>
      <c r="M71" s="871"/>
      <c r="N71" s="871"/>
      <c r="O71" s="871"/>
      <c r="P71" s="871"/>
      <c r="Q71" s="871"/>
      <c r="R71" s="4"/>
    </row>
    <row r="72" spans="1:18" ht="9.9499999999999993" customHeight="1" x14ac:dyDescent="0.2">
      <c r="A72" s="2"/>
      <c r="B72" s="2"/>
      <c r="C72" s="3"/>
      <c r="D72" s="4"/>
      <c r="E72" s="4"/>
      <c r="F72" s="4"/>
      <c r="G72" s="4"/>
      <c r="H72" s="4"/>
      <c r="I72" s="4"/>
      <c r="J72" s="4"/>
      <c r="K72" s="4"/>
      <c r="L72" s="4"/>
      <c r="M72" s="4"/>
      <c r="N72" s="4"/>
      <c r="O72" s="4"/>
      <c r="P72" s="4"/>
      <c r="Q72" s="4"/>
      <c r="R72" s="4"/>
    </row>
    <row r="73" spans="1:18" ht="14.25" customHeight="1" x14ac:dyDescent="0.2">
      <c r="A73" s="2"/>
      <c r="B73" s="2"/>
      <c r="C73" s="3"/>
      <c r="D73" s="4"/>
      <c r="E73" s="4"/>
      <c r="F73" s="17" t="s">
        <v>40</v>
      </c>
      <c r="G73" s="380"/>
      <c r="H73" s="4"/>
      <c r="I73" s="379">
        <f>Datos_transporte!H45</f>
        <v>0.44200000000000006</v>
      </c>
      <c r="J73" s="378" t="s">
        <v>39</v>
      </c>
      <c r="K73" s="4"/>
      <c r="L73" s="4"/>
      <c r="M73" s="4"/>
      <c r="N73" s="4"/>
      <c r="O73" s="4"/>
      <c r="P73" s="4"/>
      <c r="Q73" s="4"/>
      <c r="R73" s="4"/>
    </row>
    <row r="74" spans="1:18" ht="15" thickBot="1" x14ac:dyDescent="0.25">
      <c r="A74" s="2"/>
      <c r="B74" s="2"/>
      <c r="C74" s="3"/>
      <c r="D74" s="4"/>
      <c r="E74" s="4"/>
      <c r="F74" s="380"/>
      <c r="G74" s="380"/>
      <c r="H74" s="4"/>
      <c r="I74" s="378"/>
      <c r="J74" s="4"/>
      <c r="K74" s="4"/>
      <c r="L74" s="4"/>
      <c r="M74" s="4"/>
      <c r="N74" s="4"/>
      <c r="O74" s="4"/>
      <c r="P74" s="4"/>
      <c r="Q74" s="4"/>
      <c r="R74" s="4"/>
    </row>
    <row r="75" spans="1:18" ht="14.25" x14ac:dyDescent="0.2">
      <c r="A75" s="2"/>
      <c r="B75" s="2"/>
      <c r="C75" s="3"/>
      <c r="D75" s="4"/>
      <c r="E75" s="4"/>
      <c r="F75" s="367"/>
      <c r="G75" s="368"/>
      <c r="H75" s="368"/>
      <c r="I75" s="368"/>
      <c r="J75" s="369"/>
      <c r="K75" s="4"/>
      <c r="L75" s="4"/>
      <c r="M75" s="4"/>
      <c r="N75" s="4"/>
      <c r="O75" s="4"/>
      <c r="P75" s="4"/>
      <c r="Q75" s="4"/>
      <c r="R75" s="4"/>
    </row>
    <row r="76" spans="1:18" ht="14.25" x14ac:dyDescent="0.2">
      <c r="A76" s="2"/>
      <c r="B76" s="2"/>
      <c r="C76" s="3"/>
      <c r="D76" s="4"/>
      <c r="E76" s="4"/>
      <c r="F76" s="370"/>
      <c r="G76" s="332"/>
      <c r="H76" s="333" t="s">
        <v>691</v>
      </c>
      <c r="I76" s="333"/>
      <c r="J76" s="371"/>
      <c r="K76" s="4"/>
      <c r="L76" s="4"/>
      <c r="M76" s="4"/>
      <c r="N76" s="4"/>
      <c r="O76" s="4"/>
      <c r="P76" s="4"/>
      <c r="Q76" s="4"/>
      <c r="R76" s="4"/>
    </row>
    <row r="77" spans="1:18" ht="14.25" x14ac:dyDescent="0.2">
      <c r="A77" s="2"/>
      <c r="B77" s="2"/>
      <c r="C77" s="3"/>
      <c r="D77" s="4"/>
      <c r="E77" s="4"/>
      <c r="F77" s="370"/>
      <c r="G77" s="332"/>
      <c r="H77" s="333" t="s">
        <v>692</v>
      </c>
      <c r="I77" s="333"/>
      <c r="J77" s="371"/>
      <c r="K77" s="4"/>
      <c r="L77" s="4"/>
      <c r="M77" s="4"/>
      <c r="N77" s="4"/>
      <c r="O77" s="4"/>
      <c r="P77" s="4"/>
      <c r="Q77" s="4"/>
      <c r="R77" s="4"/>
    </row>
    <row r="78" spans="1:18" ht="14.25" x14ac:dyDescent="0.2">
      <c r="A78" s="2"/>
      <c r="B78" s="2"/>
      <c r="C78" s="3"/>
      <c r="D78" s="4"/>
      <c r="E78" s="4"/>
      <c r="F78" s="370"/>
      <c r="G78" s="332"/>
      <c r="H78" s="332"/>
      <c r="I78" s="37"/>
      <c r="J78" s="372"/>
      <c r="K78" s="4"/>
      <c r="L78" s="4"/>
      <c r="M78" s="4"/>
      <c r="N78" s="4"/>
      <c r="O78" s="4"/>
      <c r="P78" s="4"/>
      <c r="Q78" s="4"/>
      <c r="R78" s="4"/>
    </row>
    <row r="79" spans="1:18" ht="14.25" x14ac:dyDescent="0.2">
      <c r="A79" s="2"/>
      <c r="B79" s="2"/>
      <c r="C79" s="3"/>
      <c r="D79" s="4"/>
      <c r="E79" s="4"/>
      <c r="F79" s="370"/>
      <c r="G79" s="332"/>
      <c r="H79" s="880">
        <f>ROUND(16.4*$I$73,0)</f>
        <v>7</v>
      </c>
      <c r="I79" s="880"/>
      <c r="J79" s="881" t="s">
        <v>690</v>
      </c>
      <c r="K79" s="4"/>
      <c r="L79" s="4"/>
      <c r="M79" s="4"/>
      <c r="N79" s="4"/>
      <c r="O79" s="4"/>
      <c r="P79" s="4"/>
      <c r="Q79" s="4"/>
      <c r="R79" s="4"/>
    </row>
    <row r="80" spans="1:18" ht="14.25" x14ac:dyDescent="0.2">
      <c r="A80" s="2"/>
      <c r="B80" s="2"/>
      <c r="C80" s="3"/>
      <c r="D80" s="4"/>
      <c r="E80" s="4"/>
      <c r="F80" s="370"/>
      <c r="G80" s="332"/>
      <c r="H80" s="880"/>
      <c r="I80" s="880"/>
      <c r="J80" s="881"/>
      <c r="K80" s="4"/>
      <c r="L80" s="4"/>
      <c r="M80" s="4"/>
      <c r="N80" s="4"/>
      <c r="O80" s="4"/>
      <c r="P80" s="4"/>
      <c r="Q80" s="4"/>
      <c r="R80" s="4"/>
    </row>
    <row r="81" spans="1:18" ht="15" thickBot="1" x14ac:dyDescent="0.25">
      <c r="A81" s="2"/>
      <c r="B81" s="2"/>
      <c r="C81" s="3"/>
      <c r="D81" s="4"/>
      <c r="E81" s="4"/>
      <c r="F81" s="373"/>
      <c r="G81" s="374"/>
      <c r="H81" s="374"/>
      <c r="I81" s="374"/>
      <c r="J81" s="375"/>
      <c r="K81" s="4"/>
      <c r="L81" s="4"/>
      <c r="M81" s="4"/>
      <c r="N81" s="4"/>
      <c r="O81" s="4"/>
      <c r="P81" s="4"/>
      <c r="Q81" s="4"/>
      <c r="R81" s="4"/>
    </row>
    <row r="82" spans="1:18" ht="14.25" x14ac:dyDescent="0.2">
      <c r="A82" s="2"/>
      <c r="B82" s="2"/>
      <c r="C82" s="3"/>
      <c r="D82" s="4"/>
      <c r="E82" s="4"/>
      <c r="F82" s="4"/>
      <c r="G82" s="4"/>
      <c r="H82" s="4"/>
      <c r="I82" s="4"/>
      <c r="J82" s="4"/>
      <c r="K82" s="4"/>
      <c r="L82" s="4"/>
      <c r="M82" s="4"/>
      <c r="N82" s="4"/>
      <c r="O82" s="4"/>
      <c r="P82" s="4"/>
      <c r="Q82" s="4"/>
      <c r="R82" s="4"/>
    </row>
    <row r="83" spans="1:18" ht="14.25" x14ac:dyDescent="0.2">
      <c r="A83" s="2"/>
      <c r="B83" s="2"/>
      <c r="C83" s="3"/>
      <c r="D83" s="4"/>
      <c r="E83" s="4"/>
      <c r="F83" s="4"/>
      <c r="G83" s="4"/>
      <c r="H83" s="4"/>
      <c r="I83" s="4"/>
      <c r="J83" s="4"/>
      <c r="K83" s="4"/>
      <c r="L83" s="4"/>
      <c r="M83" s="4"/>
      <c r="N83" s="4"/>
      <c r="O83" s="4"/>
      <c r="P83" s="4"/>
      <c r="Q83" s="4"/>
      <c r="R83" s="4"/>
    </row>
    <row r="84" spans="1:18" ht="20.100000000000001" customHeight="1" x14ac:dyDescent="0.2">
      <c r="A84" s="2"/>
      <c r="B84" s="2"/>
      <c r="C84" s="3"/>
      <c r="D84" s="4"/>
      <c r="E84" s="874" t="s">
        <v>659</v>
      </c>
      <c r="F84" s="875" t="s">
        <v>2</v>
      </c>
      <c r="G84" s="875"/>
      <c r="H84" s="875"/>
      <c r="I84" s="875"/>
      <c r="J84" s="882" t="s">
        <v>917</v>
      </c>
      <c r="K84" s="882"/>
      <c r="L84" s="882"/>
      <c r="M84" s="882"/>
      <c r="N84" s="882"/>
      <c r="O84" s="882"/>
      <c r="P84" s="882"/>
      <c r="Q84" s="882"/>
      <c r="R84" s="4"/>
    </row>
    <row r="85" spans="1:18" ht="20.100000000000001" customHeight="1" x14ac:dyDescent="0.2">
      <c r="A85" s="2"/>
      <c r="B85" s="2"/>
      <c r="C85" s="3"/>
      <c r="D85" s="4"/>
      <c r="E85" s="874"/>
      <c r="F85" s="875" t="s">
        <v>3</v>
      </c>
      <c r="G85" s="875"/>
      <c r="H85" s="875"/>
      <c r="I85" s="875"/>
      <c r="J85" s="882" t="s">
        <v>1085</v>
      </c>
      <c r="K85" s="882"/>
      <c r="L85" s="882"/>
      <c r="M85" s="882"/>
      <c r="N85" s="882"/>
      <c r="O85" s="882"/>
      <c r="P85" s="882"/>
      <c r="Q85" s="882"/>
      <c r="R85" s="4"/>
    </row>
    <row r="86" spans="1:18" ht="87.75" customHeight="1" x14ac:dyDescent="0.2">
      <c r="A86" s="2"/>
      <c r="B86" s="2"/>
      <c r="C86" s="3"/>
      <c r="D86" s="4"/>
      <c r="E86" s="4"/>
      <c r="F86" s="875" t="s">
        <v>50</v>
      </c>
      <c r="G86" s="875"/>
      <c r="H86" s="875"/>
      <c r="I86" s="875"/>
      <c r="J86" s="878" t="s">
        <v>960</v>
      </c>
      <c r="K86" s="878"/>
      <c r="L86" s="878"/>
      <c r="M86" s="878"/>
      <c r="N86" s="878"/>
      <c r="O86" s="878"/>
      <c r="P86" s="878"/>
      <c r="Q86" s="878"/>
      <c r="R86" s="4"/>
    </row>
    <row r="87" spans="1:18" ht="14.25" x14ac:dyDescent="0.2">
      <c r="A87" s="2"/>
      <c r="B87" s="2"/>
      <c r="C87" s="3"/>
      <c r="D87" s="4"/>
      <c r="E87" s="4"/>
      <c r="F87" s="4"/>
      <c r="G87" s="4"/>
      <c r="H87" s="4"/>
      <c r="I87" s="4"/>
      <c r="J87" s="4"/>
      <c r="K87" s="4"/>
      <c r="L87" s="4"/>
      <c r="M87" s="4"/>
      <c r="N87" s="4"/>
      <c r="O87" s="4"/>
      <c r="P87" s="4"/>
      <c r="Q87" s="4"/>
      <c r="R87" s="4"/>
    </row>
    <row r="88" spans="1:18" ht="15" x14ac:dyDescent="0.2">
      <c r="A88" s="2"/>
      <c r="B88" s="2"/>
      <c r="C88" s="3"/>
      <c r="D88" s="4"/>
      <c r="E88" s="4"/>
      <c r="F88" s="871" t="s">
        <v>20</v>
      </c>
      <c r="G88" s="871"/>
      <c r="H88" s="871"/>
      <c r="I88" s="871"/>
      <c r="J88" s="871"/>
      <c r="K88" s="871"/>
      <c r="L88" s="871"/>
      <c r="M88" s="871"/>
      <c r="N88" s="871"/>
      <c r="O88" s="871"/>
      <c r="P88" s="871"/>
      <c r="Q88" s="871"/>
      <c r="R88" s="4"/>
    </row>
    <row r="89" spans="1:18" ht="9.9499999999999993" customHeight="1" x14ac:dyDescent="0.2">
      <c r="A89" s="2"/>
      <c r="B89" s="2"/>
      <c r="C89" s="3"/>
      <c r="D89" s="4"/>
      <c r="E89" s="4"/>
      <c r="F89" s="4"/>
      <c r="G89" s="4"/>
      <c r="H89" s="4"/>
      <c r="I89" s="4"/>
      <c r="J89" s="4"/>
      <c r="K89" s="4"/>
      <c r="L89" s="4"/>
      <c r="M89" s="4"/>
      <c r="N89" s="4"/>
      <c r="O89" s="4"/>
      <c r="P89" s="4"/>
      <c r="Q89" s="4"/>
      <c r="R89" s="4"/>
    </row>
    <row r="90" spans="1:18" ht="14.25" customHeight="1" x14ac:dyDescent="0.2">
      <c r="A90" s="2"/>
      <c r="B90" s="2"/>
      <c r="C90" s="3"/>
      <c r="D90" s="4"/>
      <c r="E90" s="4"/>
      <c r="F90" s="17" t="s">
        <v>1076</v>
      </c>
      <c r="G90" s="4"/>
      <c r="H90" s="4"/>
      <c r="I90" s="4"/>
      <c r="J90" s="4"/>
      <c r="K90" s="4"/>
      <c r="L90" s="4"/>
      <c r="M90" s="4"/>
      <c r="N90" s="4"/>
      <c r="O90" s="4"/>
      <c r="P90" s="872" t="s">
        <v>360</v>
      </c>
      <c r="Q90" s="873"/>
      <c r="R90" s="4"/>
    </row>
    <row r="91" spans="1:18" ht="14.25" x14ac:dyDescent="0.2">
      <c r="A91" s="2"/>
      <c r="B91" s="2"/>
      <c r="C91" s="3"/>
      <c r="D91" s="4"/>
      <c r="E91" s="4"/>
      <c r="F91" s="17" t="s">
        <v>1077</v>
      </c>
      <c r="G91" s="4"/>
      <c r="H91" s="4"/>
      <c r="I91" s="4"/>
      <c r="J91" s="4"/>
      <c r="K91" s="4"/>
      <c r="L91" s="4"/>
      <c r="M91" s="4"/>
      <c r="N91" s="4"/>
      <c r="O91" s="4"/>
      <c r="P91" s="545">
        <v>1</v>
      </c>
      <c r="Q91" s="324" t="s">
        <v>880</v>
      </c>
      <c r="R91" s="4"/>
    </row>
    <row r="92" spans="1:18" ht="14.25" x14ac:dyDescent="0.2">
      <c r="A92" s="2"/>
      <c r="B92" s="2"/>
      <c r="C92" s="3"/>
      <c r="D92" s="4"/>
      <c r="E92" s="4"/>
      <c r="F92" s="17" t="s">
        <v>1078</v>
      </c>
      <c r="G92" s="4"/>
      <c r="H92" s="4"/>
      <c r="I92" s="4"/>
      <c r="J92" s="4"/>
      <c r="K92" s="4"/>
      <c r="L92" s="4"/>
      <c r="M92" s="4"/>
      <c r="N92" s="4"/>
      <c r="O92" s="4"/>
      <c r="P92" s="545">
        <v>8</v>
      </c>
      <c r="Q92" s="324" t="s">
        <v>918</v>
      </c>
      <c r="R92" s="4"/>
    </row>
    <row r="93" spans="1:18" ht="14.25" x14ac:dyDescent="0.2">
      <c r="A93" s="2"/>
      <c r="B93" s="2"/>
      <c r="C93" s="3"/>
      <c r="D93" s="4"/>
      <c r="E93" s="4"/>
      <c r="F93" s="4"/>
      <c r="G93" s="4"/>
      <c r="H93" s="4"/>
      <c r="I93" s="4"/>
      <c r="J93" s="4"/>
      <c r="K93" s="4"/>
      <c r="L93" s="4"/>
      <c r="M93" s="4"/>
      <c r="N93" s="4"/>
      <c r="O93" s="4"/>
      <c r="P93" s="4"/>
      <c r="Q93" s="4"/>
      <c r="R93" s="4"/>
    </row>
    <row r="94" spans="1:18" ht="15" x14ac:dyDescent="0.2">
      <c r="A94" s="2"/>
      <c r="B94" s="2"/>
      <c r="C94" s="3"/>
      <c r="D94" s="4"/>
      <c r="E94" s="4"/>
      <c r="F94" s="871" t="s">
        <v>36</v>
      </c>
      <c r="G94" s="871"/>
      <c r="H94" s="871"/>
      <c r="I94" s="871"/>
      <c r="J94" s="871"/>
      <c r="K94" s="871"/>
      <c r="L94" s="871"/>
      <c r="M94" s="871"/>
      <c r="N94" s="871"/>
      <c r="O94" s="871"/>
      <c r="P94" s="871"/>
      <c r="Q94" s="871"/>
      <c r="R94" s="4"/>
    </row>
    <row r="95" spans="1:18" ht="9.9499999999999993" customHeight="1" x14ac:dyDescent="0.2">
      <c r="A95" s="2"/>
      <c r="B95" s="2"/>
      <c r="C95" s="3"/>
      <c r="D95" s="4"/>
      <c r="E95" s="4"/>
      <c r="F95" s="4"/>
      <c r="G95" s="4"/>
      <c r="H95" s="4"/>
      <c r="I95" s="4"/>
      <c r="J95" s="4"/>
      <c r="K95" s="4"/>
      <c r="L95" s="4"/>
      <c r="M95" s="4"/>
      <c r="N95" s="4"/>
      <c r="O95" s="4"/>
      <c r="P95" s="4"/>
      <c r="Q95" s="4"/>
      <c r="R95" s="4"/>
    </row>
    <row r="96" spans="1:18" ht="14.25" customHeight="1" x14ac:dyDescent="0.2">
      <c r="A96" s="2"/>
      <c r="B96" s="2"/>
      <c r="C96" s="3"/>
      <c r="D96" s="4"/>
      <c r="E96" s="4"/>
      <c r="F96" s="17" t="s">
        <v>40</v>
      </c>
      <c r="G96" s="479"/>
      <c r="H96" s="4"/>
      <c r="I96" s="379">
        <f>Datos_transporte!H60</f>
        <v>16.043201002237137</v>
      </c>
      <c r="J96" s="378" t="s">
        <v>39</v>
      </c>
      <c r="K96" s="4"/>
      <c r="L96" s="4"/>
      <c r="M96" s="4"/>
      <c r="N96" s="4"/>
      <c r="O96" s="4"/>
      <c r="P96" s="4"/>
      <c r="Q96" s="4"/>
      <c r="R96" s="4"/>
    </row>
    <row r="97" spans="1:18" ht="15" thickBot="1" x14ac:dyDescent="0.25">
      <c r="A97" s="2"/>
      <c r="B97" s="2"/>
      <c r="C97" s="3"/>
      <c r="D97" s="4"/>
      <c r="E97" s="4"/>
      <c r="F97" s="4"/>
      <c r="G97" s="4"/>
      <c r="H97" s="4"/>
      <c r="I97" s="4"/>
      <c r="J97" s="4"/>
      <c r="K97" s="4"/>
      <c r="L97" s="4"/>
      <c r="M97" s="4"/>
      <c r="N97" s="4"/>
      <c r="O97" s="4"/>
      <c r="P97" s="4"/>
      <c r="Q97" s="4"/>
      <c r="R97" s="4"/>
    </row>
    <row r="98" spans="1:18" ht="14.25" x14ac:dyDescent="0.2">
      <c r="A98" s="2"/>
      <c r="B98" s="2"/>
      <c r="C98" s="3"/>
      <c r="D98" s="4"/>
      <c r="E98" s="4"/>
      <c r="F98" s="367"/>
      <c r="G98" s="368"/>
      <c r="H98" s="368"/>
      <c r="I98" s="368"/>
      <c r="J98" s="369"/>
      <c r="K98" s="4"/>
      <c r="L98" s="4"/>
      <c r="M98" s="4"/>
      <c r="N98" s="4"/>
      <c r="O98" s="4"/>
      <c r="P98" s="4"/>
      <c r="Q98" s="4"/>
      <c r="R98" s="4"/>
    </row>
    <row r="99" spans="1:18" ht="14.25" x14ac:dyDescent="0.2">
      <c r="A99" s="2"/>
      <c r="B99" s="2"/>
      <c r="C99" s="3"/>
      <c r="D99" s="4"/>
      <c r="E99" s="4"/>
      <c r="F99" s="370"/>
      <c r="G99" s="332"/>
      <c r="H99" s="333" t="s">
        <v>691</v>
      </c>
      <c r="I99" s="333"/>
      <c r="J99" s="371"/>
      <c r="K99" s="4"/>
      <c r="L99" s="4"/>
      <c r="M99" s="4"/>
      <c r="N99" s="4"/>
      <c r="O99" s="4"/>
      <c r="P99" s="4"/>
      <c r="Q99" s="4"/>
      <c r="R99" s="4"/>
    </row>
    <row r="100" spans="1:18" ht="14.25" x14ac:dyDescent="0.2">
      <c r="A100" s="2"/>
      <c r="B100" s="2"/>
      <c r="C100" s="3"/>
      <c r="D100" s="4"/>
      <c r="E100" s="4"/>
      <c r="F100" s="370"/>
      <c r="G100" s="332"/>
      <c r="H100" s="333" t="s">
        <v>692</v>
      </c>
      <c r="I100" s="333"/>
      <c r="J100" s="371"/>
      <c r="K100" s="4"/>
      <c r="L100" s="4"/>
      <c r="M100" s="4"/>
      <c r="N100" s="4"/>
      <c r="O100" s="4"/>
      <c r="P100" s="4"/>
      <c r="Q100" s="4"/>
      <c r="R100" s="4"/>
    </row>
    <row r="101" spans="1:18" ht="14.25" x14ac:dyDescent="0.2">
      <c r="A101" s="2"/>
      <c r="B101" s="2"/>
      <c r="C101" s="3"/>
      <c r="D101" s="4"/>
      <c r="E101" s="4"/>
      <c r="F101" s="370"/>
      <c r="G101" s="332"/>
      <c r="H101" s="332"/>
      <c r="I101" s="37"/>
      <c r="J101" s="372"/>
      <c r="K101" s="4"/>
      <c r="L101" s="4"/>
      <c r="M101" s="4"/>
      <c r="N101" s="4"/>
      <c r="O101" s="4"/>
      <c r="P101" s="4"/>
      <c r="Q101" s="4"/>
      <c r="R101" s="4"/>
    </row>
    <row r="102" spans="1:18" ht="14.25" x14ac:dyDescent="0.2">
      <c r="A102" s="2"/>
      <c r="B102" s="2"/>
      <c r="C102" s="3"/>
      <c r="D102" s="4"/>
      <c r="E102" s="4"/>
      <c r="F102" s="370"/>
      <c r="G102" s="332"/>
      <c r="H102" s="880">
        <f>ROUND(16.4*$I$96,0)</f>
        <v>263</v>
      </c>
      <c r="I102" s="880"/>
      <c r="J102" s="881" t="s">
        <v>690</v>
      </c>
      <c r="K102" s="4"/>
      <c r="L102" s="4"/>
      <c r="M102" s="4"/>
      <c r="N102" s="4"/>
      <c r="O102" s="4"/>
      <c r="P102" s="4"/>
      <c r="Q102" s="4"/>
      <c r="R102" s="4"/>
    </row>
    <row r="103" spans="1:18" ht="14.25" x14ac:dyDescent="0.2">
      <c r="A103" s="2"/>
      <c r="B103" s="2"/>
      <c r="C103" s="3"/>
      <c r="D103" s="4"/>
      <c r="E103" s="4"/>
      <c r="F103" s="370"/>
      <c r="G103" s="332"/>
      <c r="H103" s="880"/>
      <c r="I103" s="880"/>
      <c r="J103" s="881"/>
      <c r="K103" s="4"/>
      <c r="L103" s="4"/>
      <c r="M103" s="4"/>
      <c r="N103" s="4"/>
      <c r="O103" s="4"/>
      <c r="P103" s="4"/>
      <c r="Q103" s="4"/>
      <c r="R103" s="4"/>
    </row>
    <row r="104" spans="1:18" ht="15" thickBot="1" x14ac:dyDescent="0.25">
      <c r="A104" s="2"/>
      <c r="B104" s="2"/>
      <c r="C104" s="3"/>
      <c r="D104" s="4"/>
      <c r="E104" s="4"/>
      <c r="F104" s="373"/>
      <c r="G104" s="374"/>
      <c r="H104" s="374"/>
      <c r="I104" s="374"/>
      <c r="J104" s="375"/>
      <c r="K104" s="4"/>
      <c r="L104" s="4"/>
      <c r="M104" s="4"/>
      <c r="N104" s="4"/>
      <c r="O104" s="4"/>
      <c r="P104" s="4"/>
      <c r="Q104" s="4"/>
      <c r="R104" s="4"/>
    </row>
    <row r="105" spans="1:18" ht="14.25" x14ac:dyDescent="0.2">
      <c r="A105" s="2"/>
      <c r="B105" s="2"/>
      <c r="C105" s="3"/>
      <c r="D105" s="4"/>
      <c r="E105" s="4"/>
      <c r="F105" s="4"/>
      <c r="G105" s="4"/>
      <c r="H105" s="4"/>
      <c r="I105" s="4"/>
      <c r="J105" s="4"/>
      <c r="K105" s="4"/>
      <c r="L105" s="4"/>
      <c r="M105" s="4"/>
      <c r="N105" s="4"/>
      <c r="O105" s="4"/>
      <c r="P105" s="4"/>
      <c r="Q105" s="4"/>
      <c r="R105" s="4"/>
    </row>
    <row r="106" spans="1:18" ht="14.25" x14ac:dyDescent="0.2">
      <c r="A106" s="2"/>
      <c r="B106" s="2"/>
      <c r="C106" s="3"/>
      <c r="D106" s="4"/>
      <c r="E106" s="4"/>
      <c r="F106" s="4"/>
      <c r="G106" s="4"/>
      <c r="H106" s="4"/>
      <c r="I106" s="4"/>
      <c r="J106" s="4"/>
      <c r="K106" s="4"/>
      <c r="L106" s="4"/>
      <c r="M106" s="4"/>
      <c r="N106" s="4"/>
      <c r="O106" s="4"/>
      <c r="P106" s="4"/>
      <c r="Q106" s="4"/>
      <c r="R106" s="4"/>
    </row>
    <row r="107" spans="1:18" ht="14.25" hidden="1" customHeight="1" x14ac:dyDescent="0.2"/>
    <row r="108" spans="1:18" ht="14.25" hidden="1" customHeight="1" x14ac:dyDescent="0.2"/>
    <row r="109" spans="1:18" ht="14.25" hidden="1" customHeight="1" x14ac:dyDescent="0.2"/>
    <row r="110" spans="1:18" ht="14.25" hidden="1" customHeight="1" x14ac:dyDescent="0.2"/>
    <row r="111" spans="1:18" ht="14.25" hidden="1" customHeight="1" x14ac:dyDescent="0.2"/>
    <row r="112" spans="1:18" ht="14.25" hidden="1" customHeight="1" x14ac:dyDescent="0.2"/>
    <row r="113" customFormat="1" ht="14.25" hidden="1" customHeight="1" x14ac:dyDescent="0.2"/>
    <row r="114" customFormat="1" ht="14.25" hidden="1" customHeight="1" x14ac:dyDescent="0.2"/>
    <row r="115" customFormat="1" ht="14.25" hidden="1" customHeight="1" x14ac:dyDescent="0.2"/>
    <row r="116" customFormat="1" ht="14.25" hidden="1" customHeight="1" x14ac:dyDescent="0.2"/>
    <row r="117" customFormat="1" ht="14.25" hidden="1" customHeight="1" x14ac:dyDescent="0.2"/>
    <row r="118" customFormat="1" ht="14.25" hidden="1" customHeight="1" x14ac:dyDescent="0.2"/>
    <row r="119" customFormat="1" ht="14.25" hidden="1" customHeight="1" x14ac:dyDescent="0.2"/>
    <row r="120" customFormat="1" ht="14.25" hidden="1" customHeight="1" x14ac:dyDescent="0.2"/>
    <row r="121" customFormat="1" ht="14.25" hidden="1" customHeight="1" x14ac:dyDescent="0.2"/>
    <row r="122" customFormat="1" ht="14.25" hidden="1" customHeight="1" x14ac:dyDescent="0.2"/>
    <row r="123" customFormat="1" ht="14.25" hidden="1" customHeight="1" x14ac:dyDescent="0.2"/>
    <row r="124" customFormat="1" ht="14.25" hidden="1" customHeight="1" x14ac:dyDescent="0.2"/>
    <row r="125" customFormat="1" ht="14.25" hidden="1" customHeight="1" x14ac:dyDescent="0.2"/>
    <row r="126" customFormat="1" ht="14.25" hidden="1" customHeight="1" x14ac:dyDescent="0.2"/>
    <row r="127" customFormat="1" ht="14.25" hidden="1" customHeight="1" x14ac:dyDescent="0.2"/>
    <row r="128" customFormat="1" ht="14.25" hidden="1" customHeight="1" x14ac:dyDescent="0.2"/>
    <row r="129" customFormat="1" ht="14.25" hidden="1" customHeight="1" x14ac:dyDescent="0.2"/>
    <row r="130" customFormat="1" ht="14.25" hidden="1" customHeight="1" x14ac:dyDescent="0.2"/>
    <row r="131" customFormat="1" ht="14.25" hidden="1" customHeight="1" x14ac:dyDescent="0.2"/>
    <row r="132" customFormat="1" ht="14.25" hidden="1" customHeight="1" x14ac:dyDescent="0.2"/>
    <row r="133" customFormat="1" ht="14.25" hidden="1" customHeight="1" x14ac:dyDescent="0.2"/>
    <row r="134" customFormat="1" ht="14.25" hidden="1" customHeight="1" x14ac:dyDescent="0.2"/>
    <row r="135" customFormat="1" ht="14.25" hidden="1" customHeight="1" x14ac:dyDescent="0.2"/>
    <row r="136" customFormat="1" ht="14.25" hidden="1" customHeight="1" x14ac:dyDescent="0.2"/>
    <row r="137" customFormat="1" ht="14.25" hidden="1" customHeight="1" x14ac:dyDescent="0.2"/>
    <row r="138" customFormat="1" ht="14.25" hidden="1" customHeight="1" x14ac:dyDescent="0.2"/>
    <row r="139" customFormat="1" ht="14.25" hidden="1" customHeight="1" x14ac:dyDescent="0.2"/>
    <row r="140" customFormat="1" ht="14.25" hidden="1" customHeight="1" x14ac:dyDescent="0.2"/>
    <row r="141" customFormat="1" ht="14.25" hidden="1" customHeight="1" x14ac:dyDescent="0.2"/>
    <row r="142" customFormat="1" ht="14.25" hidden="1" customHeight="1" x14ac:dyDescent="0.2"/>
    <row r="143" customFormat="1" ht="14.25" hidden="1" customHeight="1" x14ac:dyDescent="0.2"/>
    <row r="144" customFormat="1" ht="14.25" hidden="1" customHeight="1" x14ac:dyDescent="0.2"/>
    <row r="145" customFormat="1" ht="14.25" hidden="1" customHeight="1" x14ac:dyDescent="0.2"/>
    <row r="146" customFormat="1" ht="14.25" hidden="1" customHeight="1" x14ac:dyDescent="0.2"/>
    <row r="147" customFormat="1" ht="14.25" hidden="1" customHeight="1" x14ac:dyDescent="0.2"/>
    <row r="148" customFormat="1" ht="14.25" hidden="1" customHeight="1" x14ac:dyDescent="0.2"/>
    <row r="149" customFormat="1" ht="14.25" hidden="1" customHeight="1" x14ac:dyDescent="0.2"/>
    <row r="150" customFormat="1" ht="14.25" hidden="1" customHeight="1" x14ac:dyDescent="0.2"/>
    <row r="151" customFormat="1" ht="14.25" hidden="1" customHeight="1" x14ac:dyDescent="0.2"/>
    <row r="152" customFormat="1" ht="14.25" hidden="1" customHeight="1" x14ac:dyDescent="0.2"/>
    <row r="153" customFormat="1" ht="14.25" hidden="1" customHeight="1" x14ac:dyDescent="0.2"/>
    <row r="154" customFormat="1" ht="14.25" hidden="1" customHeight="1" x14ac:dyDescent="0.2"/>
    <row r="155" customFormat="1" ht="14.25" hidden="1" customHeight="1" x14ac:dyDescent="0.2"/>
    <row r="156" customFormat="1" ht="14.25" hidden="1" customHeight="1" x14ac:dyDescent="0.2"/>
    <row r="157" customFormat="1" ht="14.25" hidden="1" customHeight="1" x14ac:dyDescent="0.2"/>
    <row r="158" customFormat="1" ht="14.25" hidden="1" customHeight="1" x14ac:dyDescent="0.2"/>
    <row r="159" customFormat="1" ht="14.25" hidden="1" customHeight="1" x14ac:dyDescent="0.2"/>
    <row r="160" customFormat="1" ht="14.25" hidden="1" customHeight="1" x14ac:dyDescent="0.2"/>
    <row r="161" customFormat="1" ht="14.25" hidden="1" customHeight="1" x14ac:dyDescent="0.2"/>
    <row r="162" customFormat="1" ht="14.25" hidden="1" customHeight="1" x14ac:dyDescent="0.2"/>
    <row r="163" customFormat="1" ht="14.25" hidden="1" customHeight="1" x14ac:dyDescent="0.2"/>
    <row r="164" customFormat="1" ht="14.25" hidden="1" customHeight="1" x14ac:dyDescent="0.2"/>
    <row r="165" customFormat="1" ht="14.25" hidden="1" customHeight="1" x14ac:dyDescent="0.2"/>
    <row r="166" customFormat="1" ht="14.25" hidden="1" customHeight="1" x14ac:dyDescent="0.2"/>
    <row r="167" customFormat="1" ht="14.25" hidden="1" customHeight="1" x14ac:dyDescent="0.2"/>
  </sheetData>
  <sheetProtection algorithmName="SHA-512" hashValue="htuTd+lE1i8nH0vI/oSPzvLivZqEFzyCOy63a0jJLk+qJx9gEZaiE+PoClnMcOvPAoyrLP7TAGoJT51XV7DzRA==" saltValue="siqmhRByGUrQgBTJuOyOTg==" spinCount="100000" sheet="1" objects="1" scenarios="1"/>
  <mergeCells count="52">
    <mergeCell ref="H102:I103"/>
    <mergeCell ref="J102:J103"/>
    <mergeCell ref="P47:Q47"/>
    <mergeCell ref="F49:Q49"/>
    <mergeCell ref="H57:I58"/>
    <mergeCell ref="J86:Q86"/>
    <mergeCell ref="J62:Q62"/>
    <mergeCell ref="J63:Q63"/>
    <mergeCell ref="J64:Q64"/>
    <mergeCell ref="F86:I86"/>
    <mergeCell ref="H79:I80"/>
    <mergeCell ref="J79:J80"/>
    <mergeCell ref="J84:Q84"/>
    <mergeCell ref="J85:Q85"/>
    <mergeCell ref="J57:J58"/>
    <mergeCell ref="F94:Q94"/>
    <mergeCell ref="C3:L3"/>
    <mergeCell ref="E12:E13"/>
    <mergeCell ref="F12:I12"/>
    <mergeCell ref="F13:I13"/>
    <mergeCell ref="F14:I14"/>
    <mergeCell ref="J12:Q12"/>
    <mergeCell ref="J13:Q13"/>
    <mergeCell ref="J14:Q14"/>
    <mergeCell ref="H30:I31"/>
    <mergeCell ref="J30:J31"/>
    <mergeCell ref="J35:Q35"/>
    <mergeCell ref="J36:Q36"/>
    <mergeCell ref="F16:Q16"/>
    <mergeCell ref="P18:Q18"/>
    <mergeCell ref="P20:Q20"/>
    <mergeCell ref="F22:Q22"/>
    <mergeCell ref="P69:Q69"/>
    <mergeCell ref="F71:Q71"/>
    <mergeCell ref="E35:E36"/>
    <mergeCell ref="F35:I35"/>
    <mergeCell ref="F36:I36"/>
    <mergeCell ref="J37:Q37"/>
    <mergeCell ref="F37:I37"/>
    <mergeCell ref="F39:Q39"/>
    <mergeCell ref="P45:Q45"/>
    <mergeCell ref="P41:Q41"/>
    <mergeCell ref="E62:E63"/>
    <mergeCell ref="F62:I62"/>
    <mergeCell ref="F63:I63"/>
    <mergeCell ref="F64:I64"/>
    <mergeCell ref="F66:Q66"/>
    <mergeCell ref="F88:Q88"/>
    <mergeCell ref="P90:Q90"/>
    <mergeCell ref="E84:E85"/>
    <mergeCell ref="F84:I84"/>
    <mergeCell ref="F85:I85"/>
  </mergeCells>
  <hyperlinks>
    <hyperlink ref="G6" location="TRANSPORTE!E35" display="B. Vehículos eléctricos" xr:uid="{8F706899-5F54-4D02-AFB3-BFA9CF3622E1}"/>
    <hyperlink ref="G7" location="TRANSPORTE!E62" display="C. Bicicletas" xr:uid="{E0C146C6-C9F7-46CF-B4CF-E06AFAB808BC}"/>
    <hyperlink ref="G8" location="TRANSPORTE!E84" display="D. Recambio por motores " xr:uid="{E4F065F2-A7CA-41ED-90F9-DA4989136E9B}"/>
    <hyperlink ref="G5" location="TRANSPORTE!E12" display="A. Vehículos híbridos" xr:uid="{E9E4ABAC-946F-421B-B7E3-05916F8F0871}"/>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F3D0DD39-2DC2-4DD1-8905-2177E9290BBB}">
          <x14:formula1>
            <xm:f>Datos_transporte!$C$11:$C$15</xm:f>
          </x14:formula1>
          <xm:sqref>P20</xm:sqref>
        </x14:dataValidation>
        <x14:dataValidation type="list" allowBlank="1" showInputMessage="1" showErrorMessage="1" xr:uid="{0D8F7428-E283-4799-9814-F8F48F651980}">
          <x14:formula1>
            <xm:f>Datos_transporte!$F$6:$G$6</xm:f>
          </x14:formula1>
          <xm:sqref>P18</xm:sqref>
        </x14:dataValidation>
        <x14:dataValidation type="list" allowBlank="1" showInputMessage="1" showErrorMessage="1" xr:uid="{E4F3FF42-12A2-4AB4-A800-02D8BE2BB1F0}">
          <x14:formula1>
            <xm:f>Datos_transporte!$F$22:$G$22</xm:f>
          </x14:formula1>
          <xm:sqref>P41</xm:sqref>
        </x14:dataValidation>
        <x14:dataValidation type="list" allowBlank="1" showInputMessage="1" showErrorMessage="1" xr:uid="{F0EC86EB-B40B-49A5-8342-A664348FDF00}">
          <x14:formula1>
            <xm:f>Datos_transporte!$F$23:$G$23</xm:f>
          </x14:formula1>
          <xm:sqref>P45</xm:sqref>
        </x14:dataValidation>
        <x14:dataValidation type="list" allowBlank="1" showInputMessage="1" showErrorMessage="1" xr:uid="{E692A6D5-E696-4A9C-89D2-519E183D763F}">
          <x14:formula1>
            <xm:f>Datos_transporte!$C$31:$C$35</xm:f>
          </x14:formula1>
          <xm:sqref>P47</xm:sqref>
        </x14:dataValidation>
        <x14:dataValidation type="list" allowBlank="1" showInputMessage="1" showErrorMessage="1" xr:uid="{38C7F0E7-D445-48AD-B442-589E08391CBC}">
          <x14:formula1>
            <xm:f>Datos_transporte!$F$43:$G$43</xm:f>
          </x14:formula1>
          <xm:sqref>P69</xm:sqref>
        </x14:dataValidation>
        <x14:dataValidation type="list" allowBlank="1" showInputMessage="1" showErrorMessage="1" xr:uid="{8252B963-C1A5-41F6-A28C-4A524EC131E0}">
          <x14:formula1>
            <xm:f>Datos_transporte!$K$52:$K$76</xm:f>
          </x14:formula1>
          <xm:sqref>L90 P90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ECB8C-5178-49BA-8A00-5B893E13BC89}">
  <dimension ref="A1:AS80"/>
  <sheetViews>
    <sheetView showGridLines="0" topLeftCell="A18" zoomScale="80" zoomScaleNormal="80" workbookViewId="0">
      <selection activeCell="J48" sqref="J48"/>
    </sheetView>
  </sheetViews>
  <sheetFormatPr baseColWidth="10" defaultColWidth="0" defaultRowHeight="14.25" zeroHeight="1" x14ac:dyDescent="0.2"/>
  <cols>
    <col min="1" max="1" width="1.125" customWidth="1"/>
    <col min="2" max="2" width="44.75" customWidth="1"/>
    <col min="3" max="3" width="24.375" customWidth="1"/>
    <col min="4" max="4" width="24.25" customWidth="1"/>
    <col min="5" max="5" width="11" customWidth="1"/>
    <col min="6" max="6" width="24" customWidth="1"/>
    <col min="7" max="7" width="27.5" customWidth="1"/>
    <col min="8" max="8" width="12" bestFit="1" customWidth="1"/>
    <col min="9" max="10" width="11" customWidth="1"/>
    <col min="11" max="11" width="16.125" customWidth="1"/>
    <col min="12" max="12" width="13.375" customWidth="1"/>
    <col min="13" max="13" width="17" customWidth="1"/>
    <col min="14" max="45" width="11" customWidth="1"/>
    <col min="46" max="16384" width="11" hidden="1"/>
  </cols>
  <sheetData>
    <row r="1" spans="1:13" x14ac:dyDescent="0.2"/>
    <row r="2" spans="1:13" x14ac:dyDescent="0.2">
      <c r="A2" s="105"/>
      <c r="B2" s="106"/>
      <c r="C2" s="107"/>
      <c r="D2" s="107"/>
      <c r="E2" s="107"/>
      <c r="F2" s="107"/>
      <c r="G2" s="107"/>
      <c r="H2" s="107"/>
      <c r="I2" s="108"/>
    </row>
    <row r="3" spans="1:13" ht="15" x14ac:dyDescent="0.2">
      <c r="A3" s="109"/>
      <c r="B3" s="20" t="s">
        <v>913</v>
      </c>
      <c r="C3" s="1"/>
      <c r="D3" s="1"/>
      <c r="E3" s="1"/>
      <c r="F3" s="15" t="s">
        <v>320</v>
      </c>
      <c r="G3" s="7" t="s">
        <v>912</v>
      </c>
      <c r="H3" s="1"/>
      <c r="I3" s="110"/>
    </row>
    <row r="4" spans="1:13" x14ac:dyDescent="0.2">
      <c r="A4" s="109"/>
      <c r="B4" s="7"/>
      <c r="C4" s="1"/>
      <c r="D4" s="1"/>
      <c r="E4" s="1"/>
      <c r="F4" s="1"/>
      <c r="G4" s="7" t="s">
        <v>892</v>
      </c>
      <c r="H4" s="1"/>
      <c r="I4" s="110"/>
    </row>
    <row r="5" spans="1:13" ht="15" x14ac:dyDescent="0.2">
      <c r="A5" s="109"/>
      <c r="B5" s="133" t="s">
        <v>332</v>
      </c>
      <c r="C5" s="107"/>
      <c r="D5" s="108"/>
      <c r="E5" s="1"/>
      <c r="F5" s="134" t="s">
        <v>333</v>
      </c>
      <c r="G5" s="108"/>
      <c r="H5" s="1"/>
      <c r="I5" s="110"/>
    </row>
    <row r="6" spans="1:13" x14ac:dyDescent="0.2">
      <c r="A6" s="109"/>
      <c r="B6" s="135" t="s">
        <v>869</v>
      </c>
      <c r="C6" s="118" t="s">
        <v>53</v>
      </c>
      <c r="D6" s="136" t="str">
        <f>TRANSPORTE!P18</f>
        <v>Estándar</v>
      </c>
      <c r="E6" s="1"/>
      <c r="F6" s="363" t="s">
        <v>868</v>
      </c>
      <c r="G6" s="138" t="s">
        <v>905</v>
      </c>
      <c r="H6" s="1"/>
      <c r="I6" s="110"/>
    </row>
    <row r="7" spans="1:13" x14ac:dyDescent="0.2">
      <c r="A7" s="109"/>
      <c r="B7" s="135" t="s">
        <v>867</v>
      </c>
      <c r="C7" s="353" t="s">
        <v>866</v>
      </c>
      <c r="D7" s="136">
        <f>TRANSPORTE!P19</f>
        <v>30000</v>
      </c>
      <c r="E7" s="1"/>
      <c r="F7" s="139"/>
      <c r="G7" s="139"/>
      <c r="H7" s="12"/>
      <c r="I7" s="140"/>
    </row>
    <row r="8" spans="1:13" ht="15" x14ac:dyDescent="0.2">
      <c r="A8" s="109"/>
      <c r="B8" s="135" t="s">
        <v>865</v>
      </c>
      <c r="C8" s="118" t="s">
        <v>53</v>
      </c>
      <c r="D8" s="136" t="str">
        <f>TRANSPORTE!P20</f>
        <v>Hasta 2,0 L a diésel2</v>
      </c>
      <c r="E8" s="1"/>
      <c r="F8" s="163" t="s">
        <v>33</v>
      </c>
      <c r="G8" s="107"/>
      <c r="H8" s="108"/>
      <c r="I8" s="140"/>
      <c r="K8" s="318"/>
      <c r="L8" s="319" t="s">
        <v>1107</v>
      </c>
      <c r="M8" s="319" t="s">
        <v>1091</v>
      </c>
    </row>
    <row r="9" spans="1:13" ht="28.5" x14ac:dyDescent="0.2">
      <c r="A9" s="109"/>
      <c r="B9" s="150" t="s">
        <v>34</v>
      </c>
      <c r="C9" s="886" t="s">
        <v>886</v>
      </c>
      <c r="D9" s="887"/>
      <c r="E9" s="1"/>
      <c r="F9" s="146" t="s">
        <v>375</v>
      </c>
      <c r="G9" s="8" t="s">
        <v>876</v>
      </c>
      <c r="H9" s="175">
        <f>+$D$7*$D$10</f>
        <v>1.5</v>
      </c>
      <c r="I9" s="140"/>
      <c r="K9" s="489" t="s">
        <v>1106</v>
      </c>
      <c r="L9" s="481">
        <f>+($H$13+$H$14)</f>
        <v>3.6</v>
      </c>
      <c r="M9" s="481">
        <v>0</v>
      </c>
    </row>
    <row r="10" spans="1:13" ht="28.5" x14ac:dyDescent="0.2">
      <c r="A10" s="109"/>
      <c r="B10" s="628" t="s">
        <v>865</v>
      </c>
      <c r="C10" s="8" t="s">
        <v>900</v>
      </c>
      <c r="D10" s="220">
        <f>50/1000000</f>
        <v>5.0000000000000002E-5</v>
      </c>
      <c r="E10" s="1"/>
      <c r="F10" s="151" t="s">
        <v>878</v>
      </c>
      <c r="G10" s="153" t="s">
        <v>876</v>
      </c>
      <c r="H10" s="348">
        <f>+VLOOKUP($D$8,$C$11:$D$15,2,FALSE)*$D$7</f>
        <v>3.6</v>
      </c>
      <c r="I10" s="140"/>
      <c r="K10" s="489" t="s">
        <v>1108</v>
      </c>
      <c r="L10" s="481">
        <f>+$H$13</f>
        <v>1.5</v>
      </c>
      <c r="M10" s="482">
        <f>+$H$11</f>
        <v>2.1</v>
      </c>
    </row>
    <row r="11" spans="1:13" x14ac:dyDescent="0.2">
      <c r="A11" s="109"/>
      <c r="B11" s="628"/>
      <c r="C11" s="364" t="s">
        <v>899</v>
      </c>
      <c r="D11" s="220">
        <f>170/1000000</f>
        <v>1.7000000000000001E-4</v>
      </c>
      <c r="E11" s="311"/>
      <c r="F11" s="366" t="s">
        <v>40</v>
      </c>
      <c r="G11" s="154" t="s">
        <v>876</v>
      </c>
      <c r="H11" s="365">
        <f>+$H$10-$H$9</f>
        <v>2.1</v>
      </c>
      <c r="I11" s="140"/>
    </row>
    <row r="12" spans="1:13" x14ac:dyDescent="0.2">
      <c r="A12" s="109"/>
      <c r="B12" s="628"/>
      <c r="C12" s="364" t="s">
        <v>898</v>
      </c>
      <c r="D12" s="220">
        <f>220/1000000</f>
        <v>2.2000000000000001E-4</v>
      </c>
      <c r="E12" s="1"/>
      <c r="F12" s="151" t="s">
        <v>378</v>
      </c>
      <c r="G12" s="153" t="s">
        <v>874</v>
      </c>
      <c r="H12" s="348">
        <f>+$H$11*$D$16</f>
        <v>34.44</v>
      </c>
      <c r="I12" s="140"/>
    </row>
    <row r="13" spans="1:13" ht="15" x14ac:dyDescent="0.2">
      <c r="A13" s="109"/>
      <c r="B13" s="628"/>
      <c r="C13" s="364" t="s">
        <v>897</v>
      </c>
      <c r="D13" s="220">
        <f>270/1000000</f>
        <v>2.7E-4</v>
      </c>
      <c r="E13" s="1"/>
      <c r="F13" s="134" t="s">
        <v>62</v>
      </c>
      <c r="G13" s="154" t="s">
        <v>45</v>
      </c>
      <c r="H13" s="155">
        <f>H9</f>
        <v>1.5</v>
      </c>
      <c r="I13" s="140"/>
    </row>
    <row r="14" spans="1:13" x14ac:dyDescent="0.2">
      <c r="A14" s="109"/>
      <c r="B14" s="628"/>
      <c r="C14" s="364" t="s">
        <v>864</v>
      </c>
      <c r="D14" s="220">
        <f>120/1000000</f>
        <v>1.2E-4</v>
      </c>
      <c r="E14" s="1"/>
      <c r="F14" s="151"/>
      <c r="G14" s="153" t="s">
        <v>46</v>
      </c>
      <c r="H14" s="14">
        <f>H11</f>
        <v>2.1</v>
      </c>
      <c r="I14" s="140"/>
    </row>
    <row r="15" spans="1:13" x14ac:dyDescent="0.2">
      <c r="A15" s="109"/>
      <c r="B15" s="888"/>
      <c r="C15" s="364" t="s">
        <v>911</v>
      </c>
      <c r="D15" s="220">
        <f>140/1000000</f>
        <v>1.3999999999999999E-4</v>
      </c>
      <c r="E15" s="1"/>
      <c r="I15" s="140"/>
    </row>
    <row r="16" spans="1:13" x14ac:dyDescent="0.2">
      <c r="A16" s="109"/>
      <c r="B16" s="151" t="s">
        <v>41</v>
      </c>
      <c r="C16" s="153" t="s">
        <v>43</v>
      </c>
      <c r="D16" s="132">
        <v>16.399999999999999</v>
      </c>
      <c r="E16" s="1"/>
      <c r="I16" s="140"/>
    </row>
    <row r="17" spans="1:11" x14ac:dyDescent="0.2">
      <c r="A17" s="129"/>
      <c r="B17" s="130"/>
      <c r="C17" s="131"/>
      <c r="D17" s="131"/>
      <c r="E17" s="131"/>
      <c r="F17" s="157"/>
      <c r="G17" s="157"/>
      <c r="H17" s="158"/>
      <c r="I17" s="159"/>
    </row>
    <row r="18" spans="1:11" x14ac:dyDescent="0.2">
      <c r="A18" s="105"/>
      <c r="B18" s="106"/>
      <c r="C18" s="107"/>
      <c r="D18" s="107"/>
      <c r="E18" s="107"/>
      <c r="F18" s="107"/>
      <c r="G18" s="107"/>
      <c r="H18" s="107"/>
      <c r="I18" s="108"/>
    </row>
    <row r="19" spans="1:11" ht="15" x14ac:dyDescent="0.2">
      <c r="A19" s="109"/>
      <c r="B19" s="20" t="s">
        <v>910</v>
      </c>
      <c r="C19" s="1"/>
      <c r="D19" s="1"/>
      <c r="E19" s="1"/>
      <c r="F19" s="15" t="s">
        <v>320</v>
      </c>
      <c r="G19" s="7" t="s">
        <v>909</v>
      </c>
      <c r="H19" s="1"/>
      <c r="I19" s="110"/>
    </row>
    <row r="20" spans="1:11" x14ac:dyDescent="0.2">
      <c r="A20" s="109"/>
      <c r="B20" s="7"/>
      <c r="C20" s="1"/>
      <c r="D20" s="1"/>
      <c r="E20" s="1"/>
      <c r="F20" s="1"/>
      <c r="G20" s="7" t="s">
        <v>892</v>
      </c>
      <c r="H20" s="1"/>
      <c r="I20" s="110"/>
    </row>
    <row r="21" spans="1:11" ht="15" x14ac:dyDescent="0.2">
      <c r="A21" s="109"/>
      <c r="B21" s="133" t="s">
        <v>332</v>
      </c>
      <c r="C21" s="107"/>
      <c r="D21" s="108"/>
      <c r="E21" s="1"/>
      <c r="F21" s="134" t="s">
        <v>333</v>
      </c>
      <c r="G21" s="108"/>
      <c r="H21" s="1"/>
      <c r="I21" s="110"/>
    </row>
    <row r="22" spans="1:11" x14ac:dyDescent="0.2">
      <c r="A22" s="109"/>
      <c r="B22" s="135" t="s">
        <v>386</v>
      </c>
      <c r="C22" s="118" t="s">
        <v>53</v>
      </c>
      <c r="D22" s="136" t="str">
        <f>TRANSPORTE!P41</f>
        <v>Parámetros de recarga</v>
      </c>
      <c r="E22" s="1"/>
      <c r="F22" s="363" t="s">
        <v>908</v>
      </c>
      <c r="G22" s="138" t="s">
        <v>915</v>
      </c>
      <c r="H22" s="1"/>
      <c r="I22" s="110"/>
    </row>
    <row r="23" spans="1:11" x14ac:dyDescent="0.2">
      <c r="A23" s="109"/>
      <c r="B23" s="376" t="s">
        <v>907</v>
      </c>
      <c r="C23" s="118" t="s">
        <v>906</v>
      </c>
      <c r="D23" s="136">
        <f>TRANSPORTE!P42</f>
        <v>2000</v>
      </c>
      <c r="E23" s="1"/>
      <c r="F23" s="363" t="s">
        <v>868</v>
      </c>
      <c r="G23" s="138" t="s">
        <v>905</v>
      </c>
      <c r="H23" s="1"/>
      <c r="I23" s="110"/>
    </row>
    <row r="24" spans="1:11" x14ac:dyDescent="0.2">
      <c r="A24" s="109"/>
      <c r="B24" s="354" t="s">
        <v>904</v>
      </c>
      <c r="C24" s="118" t="s">
        <v>903</v>
      </c>
      <c r="D24" s="136">
        <f>TRANSPORTE!P43</f>
        <v>12</v>
      </c>
      <c r="E24" s="1"/>
      <c r="F24" s="139"/>
      <c r="G24" s="139"/>
      <c r="H24" s="1"/>
      <c r="I24" s="110"/>
    </row>
    <row r="25" spans="1:11" ht="15" x14ac:dyDescent="0.2">
      <c r="A25" s="109"/>
      <c r="B25" s="135" t="s">
        <v>902</v>
      </c>
      <c r="C25" s="118" t="s">
        <v>901</v>
      </c>
      <c r="D25" s="136">
        <f>TRANSPORTE!P44</f>
        <v>200</v>
      </c>
      <c r="E25" s="1"/>
      <c r="F25" s="163" t="s">
        <v>33</v>
      </c>
      <c r="G25" s="107"/>
      <c r="H25" s="108"/>
      <c r="I25" s="110"/>
    </row>
    <row r="26" spans="1:11" x14ac:dyDescent="0.2">
      <c r="A26" s="109"/>
      <c r="B26" s="135" t="s">
        <v>869</v>
      </c>
      <c r="C26" s="118" t="s">
        <v>53</v>
      </c>
      <c r="D26" s="136" t="str">
        <f>TRANSPORTE!P45</f>
        <v>Estándar</v>
      </c>
      <c r="E26" s="1"/>
      <c r="F26" s="146" t="s">
        <v>375</v>
      </c>
      <c r="G26" s="8" t="s">
        <v>876</v>
      </c>
      <c r="H26" s="175">
        <f>+$D$27*$D$30</f>
        <v>1.06308</v>
      </c>
      <c r="I26" s="110"/>
    </row>
    <row r="27" spans="1:11" x14ac:dyDescent="0.2">
      <c r="A27" s="109"/>
      <c r="B27" s="135" t="s">
        <v>867</v>
      </c>
      <c r="C27" s="353" t="s">
        <v>866</v>
      </c>
      <c r="D27" s="136">
        <f>TRANSPORTE!P46</f>
        <v>30000</v>
      </c>
      <c r="E27" s="1"/>
      <c r="F27" s="151" t="s">
        <v>878</v>
      </c>
      <c r="G27" s="153" t="s">
        <v>876</v>
      </c>
      <c r="H27" s="348">
        <f>+VLOOKUP($D$28,$C$31:$D$35,2,FALSE)*$D$27</f>
        <v>3.6</v>
      </c>
      <c r="I27" s="140"/>
      <c r="K27">
        <v>351.15</v>
      </c>
    </row>
    <row r="28" spans="1:11" x14ac:dyDescent="0.2">
      <c r="A28" s="109"/>
      <c r="B28" s="135" t="s">
        <v>865</v>
      </c>
      <c r="C28" s="118" t="s">
        <v>53</v>
      </c>
      <c r="D28" s="136" t="str">
        <f>TRANSPORTE!P47</f>
        <v>Hasta 2,0 L a diésel3</v>
      </c>
      <c r="E28" s="1"/>
      <c r="F28" s="366" t="s">
        <v>40</v>
      </c>
      <c r="G28" s="154" t="s">
        <v>876</v>
      </c>
      <c r="H28" s="365">
        <f>+$H$27-$H$26</f>
        <v>2.5369200000000003</v>
      </c>
      <c r="I28" s="140"/>
      <c r="K28">
        <v>25</v>
      </c>
    </row>
    <row r="29" spans="1:11" ht="15" x14ac:dyDescent="0.2">
      <c r="A29" s="109"/>
      <c r="B29" s="150" t="s">
        <v>34</v>
      </c>
      <c r="C29" s="886" t="s">
        <v>886</v>
      </c>
      <c r="D29" s="887"/>
      <c r="E29" s="1"/>
      <c r="F29" s="151" t="s">
        <v>378</v>
      </c>
      <c r="G29" s="153" t="s">
        <v>874</v>
      </c>
      <c r="H29" s="348">
        <f>+$H$28*$D$36</f>
        <v>41.605488000000001</v>
      </c>
      <c r="I29" s="140"/>
      <c r="K29">
        <f>+K27*K28</f>
        <v>8778.75</v>
      </c>
    </row>
    <row r="30" spans="1:11" ht="15" x14ac:dyDescent="0.2">
      <c r="A30" s="109"/>
      <c r="B30" s="628" t="s">
        <v>865</v>
      </c>
      <c r="C30" s="8" t="s">
        <v>900</v>
      </c>
      <c r="D30" s="351">
        <f>+IF($D$22="Parámetros de recarga",$D$23/1000*$D$24/$D$25*0.0002953,IF($D$22="Características de la batería",$D$23/1000/0.95*$D$24/$D$25*0.0002953,""))</f>
        <v>3.5436000000000004E-5</v>
      </c>
      <c r="E30" s="1"/>
      <c r="F30" s="134" t="s">
        <v>62</v>
      </c>
      <c r="G30" s="154" t="s">
        <v>45</v>
      </c>
      <c r="H30" s="155">
        <f>H26</f>
        <v>1.06308</v>
      </c>
      <c r="I30" s="140"/>
    </row>
    <row r="31" spans="1:11" x14ac:dyDescent="0.2">
      <c r="A31" s="109"/>
      <c r="B31" s="628"/>
      <c r="C31" s="364" t="s">
        <v>899</v>
      </c>
      <c r="D31" s="351">
        <f>170/1000000</f>
        <v>1.7000000000000001E-4</v>
      </c>
      <c r="E31" s="311"/>
      <c r="F31" s="151"/>
      <c r="G31" s="153" t="s">
        <v>46</v>
      </c>
      <c r="H31" s="14">
        <f>H28</f>
        <v>2.5369200000000003</v>
      </c>
      <c r="I31" s="140"/>
    </row>
    <row r="32" spans="1:11" x14ac:dyDescent="0.2">
      <c r="A32" s="109"/>
      <c r="B32" s="628"/>
      <c r="C32" s="364" t="s">
        <v>898</v>
      </c>
      <c r="D32" s="220">
        <f>220/1000000</f>
        <v>2.2000000000000001E-4</v>
      </c>
      <c r="E32" s="1"/>
      <c r="I32" s="140"/>
    </row>
    <row r="33" spans="1:9" ht="15" x14ac:dyDescent="0.2">
      <c r="A33" s="109"/>
      <c r="B33" s="628"/>
      <c r="C33" s="364" t="s">
        <v>897</v>
      </c>
      <c r="D33" s="220">
        <f>270/1000000</f>
        <v>2.7E-4</v>
      </c>
      <c r="E33" s="1"/>
      <c r="F33" s="318"/>
      <c r="G33" s="319" t="s">
        <v>1107</v>
      </c>
      <c r="H33" s="319" t="s">
        <v>1091</v>
      </c>
      <c r="I33" s="140"/>
    </row>
    <row r="34" spans="1:9" ht="28.5" x14ac:dyDescent="0.2">
      <c r="A34" s="109"/>
      <c r="B34" s="628"/>
      <c r="C34" s="364" t="s">
        <v>896</v>
      </c>
      <c r="D34" s="220">
        <f>120/1000000</f>
        <v>1.2E-4</v>
      </c>
      <c r="E34" s="1"/>
      <c r="F34" s="489" t="s">
        <v>1106</v>
      </c>
      <c r="G34" s="481">
        <f>+($H$30+$H$31)</f>
        <v>3.6000000000000005</v>
      </c>
      <c r="H34" s="481">
        <v>0</v>
      </c>
      <c r="I34" s="140"/>
    </row>
    <row r="35" spans="1:9" ht="28.5" x14ac:dyDescent="0.2">
      <c r="A35" s="109"/>
      <c r="B35" s="888"/>
      <c r="C35" s="364" t="s">
        <v>895</v>
      </c>
      <c r="D35" s="220">
        <f>140/1000000</f>
        <v>1.3999999999999999E-4</v>
      </c>
      <c r="E35" s="1"/>
      <c r="F35" s="489" t="s">
        <v>1108</v>
      </c>
      <c r="G35" s="481">
        <f>+$H$30</f>
        <v>1.06308</v>
      </c>
      <c r="H35" s="481">
        <f>+$H$28</f>
        <v>2.5369200000000003</v>
      </c>
      <c r="I35" s="140"/>
    </row>
    <row r="36" spans="1:9" x14ac:dyDescent="0.2">
      <c r="A36" s="109"/>
      <c r="B36" s="151" t="s">
        <v>41</v>
      </c>
      <c r="C36" s="153" t="s">
        <v>43</v>
      </c>
      <c r="D36" s="132">
        <v>16.399999999999999</v>
      </c>
      <c r="E36" s="1"/>
      <c r="I36" s="140"/>
    </row>
    <row r="37" spans="1:9" x14ac:dyDescent="0.2">
      <c r="A37" s="129"/>
      <c r="B37" s="130"/>
      <c r="C37" s="131"/>
      <c r="D37" s="131"/>
      <c r="E37" s="131"/>
      <c r="F37" s="157"/>
      <c r="G37" s="157"/>
      <c r="H37" s="158"/>
      <c r="I37" s="159"/>
    </row>
    <row r="38" spans="1:9" x14ac:dyDescent="0.2"/>
    <row r="39" spans="1:9" x14ac:dyDescent="0.2">
      <c r="A39" s="105"/>
      <c r="B39" s="106"/>
      <c r="C39" s="107"/>
      <c r="D39" s="107"/>
      <c r="E39" s="107"/>
      <c r="F39" s="107"/>
      <c r="G39" s="107"/>
      <c r="H39" s="107"/>
      <c r="I39" s="108"/>
    </row>
    <row r="40" spans="1:9" ht="15" x14ac:dyDescent="0.2">
      <c r="A40" s="109"/>
      <c r="B40" s="20" t="s">
        <v>894</v>
      </c>
      <c r="C40" s="1"/>
      <c r="D40" s="1"/>
      <c r="E40" s="1"/>
      <c r="F40" s="15" t="s">
        <v>320</v>
      </c>
      <c r="G40" s="7" t="s">
        <v>893</v>
      </c>
      <c r="H40" s="1"/>
      <c r="I40" s="110"/>
    </row>
    <row r="41" spans="1:9" x14ac:dyDescent="0.2">
      <c r="A41" s="109"/>
      <c r="B41" s="7"/>
      <c r="C41" s="1"/>
      <c r="D41" s="1"/>
      <c r="E41" s="1"/>
      <c r="F41" s="1"/>
      <c r="G41" s="7" t="s">
        <v>892</v>
      </c>
      <c r="H41" s="1"/>
      <c r="I41" s="110"/>
    </row>
    <row r="42" spans="1:9" ht="15" x14ac:dyDescent="0.2">
      <c r="A42" s="109"/>
      <c r="B42" s="133" t="s">
        <v>332</v>
      </c>
      <c r="C42" s="107"/>
      <c r="D42" s="108"/>
      <c r="E42" s="1"/>
      <c r="F42" s="134" t="s">
        <v>333</v>
      </c>
      <c r="G42" s="108"/>
      <c r="H42" s="1"/>
      <c r="I42" s="110"/>
    </row>
    <row r="43" spans="1:9" x14ac:dyDescent="0.2">
      <c r="A43" s="109"/>
      <c r="B43" s="135" t="s">
        <v>891</v>
      </c>
      <c r="C43" s="118" t="s">
        <v>890</v>
      </c>
      <c r="D43" s="136">
        <f>TRANSPORTE!P68</f>
        <v>10</v>
      </c>
      <c r="E43" s="1"/>
      <c r="F43" s="363" t="s">
        <v>889</v>
      </c>
      <c r="G43" s="138" t="s">
        <v>888</v>
      </c>
      <c r="H43" s="1"/>
      <c r="I43" s="110"/>
    </row>
    <row r="44" spans="1:9" ht="15" x14ac:dyDescent="0.2">
      <c r="A44" s="109"/>
      <c r="B44" s="354" t="s">
        <v>887</v>
      </c>
      <c r="C44" s="362" t="s">
        <v>53</v>
      </c>
      <c r="D44" s="136" t="str">
        <f>TRANSPORTE!P69</f>
        <v>Liviano</v>
      </c>
      <c r="E44" s="1"/>
      <c r="F44" s="163" t="s">
        <v>33</v>
      </c>
      <c r="G44" s="107"/>
      <c r="H44" s="108"/>
      <c r="I44" s="110"/>
    </row>
    <row r="45" spans="1:9" ht="15" x14ac:dyDescent="0.2">
      <c r="A45" s="109"/>
      <c r="B45" s="150" t="s">
        <v>34</v>
      </c>
      <c r="C45" s="886" t="s">
        <v>886</v>
      </c>
      <c r="D45" s="887"/>
      <c r="E45" s="1"/>
      <c r="F45" s="146" t="s">
        <v>40</v>
      </c>
      <c r="G45" s="8" t="s">
        <v>876</v>
      </c>
      <c r="H45" s="175">
        <f>+$D$43*$D$48*VLOOKUP($D$44,$C$46:$D$47,2,FALSE)</f>
        <v>0.44200000000000006</v>
      </c>
      <c r="I45" s="110"/>
    </row>
    <row r="46" spans="1:9" x14ac:dyDescent="0.2">
      <c r="A46" s="109"/>
      <c r="B46" s="350"/>
      <c r="C46" s="349" t="str">
        <f>+F43</f>
        <v>Liviano</v>
      </c>
      <c r="D46" s="351">
        <f>170/1000000</f>
        <v>1.7000000000000001E-4</v>
      </c>
      <c r="E46" s="1"/>
      <c r="F46" s="151" t="s">
        <v>378</v>
      </c>
      <c r="G46" s="153" t="s">
        <v>874</v>
      </c>
      <c r="H46" s="348">
        <f>+$H$45*$D$49</f>
        <v>7.2488000000000001</v>
      </c>
      <c r="I46" s="110"/>
    </row>
    <row r="47" spans="1:9" ht="15" x14ac:dyDescent="0.2">
      <c r="A47" s="109"/>
      <c r="B47" s="350"/>
      <c r="C47" s="349" t="str">
        <f>+G43</f>
        <v>Bus</v>
      </c>
      <c r="D47" s="220">
        <f>50/1000000</f>
        <v>5.0000000000000002E-5</v>
      </c>
      <c r="E47" s="1"/>
      <c r="F47" s="134" t="s">
        <v>62</v>
      </c>
      <c r="G47" s="154" t="s">
        <v>657</v>
      </c>
      <c r="H47" s="491">
        <v>0</v>
      </c>
      <c r="I47" s="110"/>
    </row>
    <row r="48" spans="1:9" ht="28.5" x14ac:dyDescent="0.2">
      <c r="A48" s="109"/>
      <c r="B48" s="151" t="s">
        <v>31</v>
      </c>
      <c r="C48" s="153" t="s">
        <v>873</v>
      </c>
      <c r="D48" s="132">
        <f>52*5</f>
        <v>260</v>
      </c>
      <c r="E48" s="1"/>
      <c r="F48" s="151"/>
      <c r="G48" s="490" t="s">
        <v>1106</v>
      </c>
      <c r="H48" s="14">
        <f>H45</f>
        <v>0.44200000000000006</v>
      </c>
      <c r="I48" s="140"/>
    </row>
    <row r="49" spans="1:14" x14ac:dyDescent="0.2">
      <c r="A49" s="109"/>
      <c r="B49" s="151" t="s">
        <v>41</v>
      </c>
      <c r="C49" s="153" t="s">
        <v>43</v>
      </c>
      <c r="D49" s="132">
        <v>16.399999999999999</v>
      </c>
      <c r="E49" s="1"/>
      <c r="I49" s="140"/>
    </row>
    <row r="50" spans="1:14" ht="15" x14ac:dyDescent="0.2">
      <c r="A50" s="129"/>
      <c r="B50" s="347"/>
      <c r="C50" s="346"/>
      <c r="D50" s="346"/>
      <c r="E50" s="131"/>
      <c r="F50" s="211"/>
      <c r="G50" s="211"/>
      <c r="H50" s="211"/>
      <c r="I50" s="159"/>
    </row>
    <row r="51" spans="1:14" ht="15" x14ac:dyDescent="0.2">
      <c r="A51" s="109"/>
      <c r="B51" s="182"/>
      <c r="C51" s="8"/>
      <c r="D51" s="361"/>
      <c r="E51" s="1"/>
      <c r="I51" s="139"/>
    </row>
    <row r="52" spans="1:14" x14ac:dyDescent="0.2">
      <c r="A52" s="105"/>
      <c r="B52" s="106"/>
      <c r="C52" s="107"/>
      <c r="D52" s="107"/>
      <c r="E52" s="107"/>
      <c r="F52" s="107"/>
      <c r="G52" s="107"/>
      <c r="H52" s="107"/>
      <c r="I52" s="108"/>
      <c r="J52" s="360"/>
      <c r="K52" s="359" t="s">
        <v>350</v>
      </c>
      <c r="L52" s="358">
        <v>0.75</v>
      </c>
      <c r="M52" s="358">
        <v>81.2</v>
      </c>
      <c r="N52" s="357"/>
    </row>
    <row r="53" spans="1:14" ht="15" x14ac:dyDescent="0.2">
      <c r="A53" s="109"/>
      <c r="B53" s="20" t="s">
        <v>885</v>
      </c>
      <c r="C53" s="1"/>
      <c r="D53" s="1"/>
      <c r="E53" s="1"/>
      <c r="F53" s="15" t="s">
        <v>320</v>
      </c>
      <c r="G53" s="7" t="s">
        <v>884</v>
      </c>
      <c r="H53" s="1"/>
      <c r="I53" s="110"/>
      <c r="K53" s="120" t="s">
        <v>353</v>
      </c>
      <c r="L53" s="121">
        <v>1.1000000000000001</v>
      </c>
      <c r="M53" s="121">
        <v>84.033333333333331</v>
      </c>
      <c r="N53" s="209"/>
    </row>
    <row r="54" spans="1:14" x14ac:dyDescent="0.2">
      <c r="A54" s="109"/>
      <c r="B54" s="7"/>
      <c r="C54" s="1"/>
      <c r="D54" s="1"/>
      <c r="E54" s="1"/>
      <c r="F54" s="1"/>
      <c r="G54" s="7" t="s">
        <v>883</v>
      </c>
      <c r="H54" s="1"/>
      <c r="I54" s="110"/>
      <c r="K54" s="120" t="s">
        <v>355</v>
      </c>
      <c r="L54" s="121">
        <v>1.5</v>
      </c>
      <c r="M54" s="121">
        <v>84.899999999999991</v>
      </c>
      <c r="N54" s="209"/>
    </row>
    <row r="55" spans="1:14" ht="15" x14ac:dyDescent="0.2">
      <c r="A55" s="109"/>
      <c r="B55" s="133" t="s">
        <v>332</v>
      </c>
      <c r="C55" s="107"/>
      <c r="D55" s="108"/>
      <c r="E55" s="1"/>
      <c r="F55" s="134" t="s">
        <v>333</v>
      </c>
      <c r="G55" s="108"/>
      <c r="H55" s="1"/>
      <c r="I55" s="110"/>
      <c r="K55" s="120" t="s">
        <v>356</v>
      </c>
      <c r="L55" s="121">
        <v>2.2000000000000002</v>
      </c>
      <c r="M55" s="121">
        <v>86.5</v>
      </c>
      <c r="N55" s="209"/>
    </row>
    <row r="56" spans="1:14" x14ac:dyDescent="0.2">
      <c r="A56" s="109"/>
      <c r="B56" s="135" t="s">
        <v>882</v>
      </c>
      <c r="C56" s="118" t="s">
        <v>53</v>
      </c>
      <c r="D56" s="213" t="str">
        <f>TRANSPORTE!P90</f>
        <v>7,5 HP (5,5 kW)</v>
      </c>
      <c r="E56" s="1"/>
      <c r="F56" s="356"/>
      <c r="G56" s="355"/>
      <c r="H56" s="1"/>
      <c r="I56" s="110"/>
      <c r="K56" s="120" t="s">
        <v>357</v>
      </c>
      <c r="L56" s="121">
        <v>3</v>
      </c>
      <c r="M56" s="121">
        <v>87.5</v>
      </c>
      <c r="N56" s="209"/>
    </row>
    <row r="57" spans="1:14" ht="15" x14ac:dyDescent="0.2">
      <c r="A57" s="109"/>
      <c r="B57" s="354" t="s">
        <v>881</v>
      </c>
      <c r="C57" s="353" t="s">
        <v>880</v>
      </c>
      <c r="D57" s="136">
        <f>TRANSPORTE!P91</f>
        <v>1</v>
      </c>
      <c r="E57" s="1"/>
      <c r="F57" s="163" t="s">
        <v>33</v>
      </c>
      <c r="G57" s="107"/>
      <c r="H57" s="108"/>
      <c r="I57" s="110"/>
      <c r="K57" s="120" t="s">
        <v>358</v>
      </c>
      <c r="L57" s="121">
        <v>3.7</v>
      </c>
      <c r="M57" s="121">
        <v>87.766666666666666</v>
      </c>
      <c r="N57" s="209"/>
    </row>
    <row r="58" spans="1:14" x14ac:dyDescent="0.2">
      <c r="A58" s="109"/>
      <c r="B58" s="354" t="s">
        <v>879</v>
      </c>
      <c r="C58" s="353" t="s">
        <v>539</v>
      </c>
      <c r="D58" s="136">
        <f>TRANSPORTE!P92</f>
        <v>8</v>
      </c>
      <c r="E58" s="1"/>
      <c r="F58" s="146" t="s">
        <v>878</v>
      </c>
      <c r="G58" s="8" t="s">
        <v>876</v>
      </c>
      <c r="H58" s="147">
        <f>+$D$57*$D$58*$D$62*$D$61</f>
        <v>19.821984</v>
      </c>
      <c r="I58" s="110"/>
      <c r="K58" s="120" t="s">
        <v>359</v>
      </c>
      <c r="L58" s="121">
        <v>4.5</v>
      </c>
      <c r="M58" s="121">
        <v>88.333333333333329</v>
      </c>
      <c r="N58" s="209"/>
    </row>
    <row r="59" spans="1:14" ht="15" x14ac:dyDescent="0.2">
      <c r="A59" s="109"/>
      <c r="B59" s="150" t="s">
        <v>34</v>
      </c>
      <c r="C59" s="886" t="s">
        <v>877</v>
      </c>
      <c r="D59" s="887"/>
      <c r="E59" s="1"/>
      <c r="F59" s="146" t="s">
        <v>375</v>
      </c>
      <c r="G59" s="8" t="s">
        <v>876</v>
      </c>
      <c r="H59" s="352">
        <f>+(VLOOKUP($D$56,$K$52:$M$76,2,FALSE)/(VLOOKUP($D$56,$K$52:$M$76,3,FALSE)/100))*$D$58*$D$62/1000*$D$60</f>
        <v>3.778782997762864</v>
      </c>
      <c r="I59" s="110"/>
      <c r="K59" s="120" t="s">
        <v>360</v>
      </c>
      <c r="L59" s="121">
        <v>5.5</v>
      </c>
      <c r="M59" s="121">
        <v>89.399999999999991</v>
      </c>
      <c r="N59" s="209"/>
    </row>
    <row r="60" spans="1:14" x14ac:dyDescent="0.2">
      <c r="A60" s="109"/>
      <c r="B60" s="350"/>
      <c r="C60" s="349" t="s">
        <v>38</v>
      </c>
      <c r="D60" s="351">
        <v>0.29530000000000001</v>
      </c>
      <c r="E60" s="1"/>
      <c r="F60" s="146" t="s">
        <v>40</v>
      </c>
      <c r="G60" s="8" t="s">
        <v>876</v>
      </c>
      <c r="H60" s="175">
        <f>+$H$58-$H$59</f>
        <v>16.043201002237137</v>
      </c>
      <c r="I60" s="110"/>
      <c r="K60" s="120" t="s">
        <v>361</v>
      </c>
      <c r="L60" s="121">
        <v>7.5</v>
      </c>
      <c r="M60" s="121">
        <v>90.3</v>
      </c>
      <c r="N60" s="209"/>
    </row>
    <row r="61" spans="1:14" x14ac:dyDescent="0.2">
      <c r="A61" s="109"/>
      <c r="B61" s="350"/>
      <c r="C61" s="349" t="s">
        <v>875</v>
      </c>
      <c r="D61" s="220">
        <f>9.5298/1000</f>
        <v>9.5297999999999997E-3</v>
      </c>
      <c r="E61" s="1"/>
      <c r="F61" s="151" t="s">
        <v>378</v>
      </c>
      <c r="G61" s="153" t="s">
        <v>874</v>
      </c>
      <c r="H61" s="348">
        <f>+$H$60*$D$63</f>
        <v>263.10849643668899</v>
      </c>
      <c r="I61" s="110"/>
      <c r="K61" s="120" t="s">
        <v>362</v>
      </c>
      <c r="L61" s="121">
        <v>9.1999999999999993</v>
      </c>
      <c r="M61" s="121">
        <v>90.233333333333334</v>
      </c>
      <c r="N61" s="209"/>
    </row>
    <row r="62" spans="1:14" ht="15" x14ac:dyDescent="0.2">
      <c r="A62" s="109"/>
      <c r="B62" s="151" t="s">
        <v>31</v>
      </c>
      <c r="C62" s="153" t="s">
        <v>873</v>
      </c>
      <c r="D62" s="132">
        <f>52*5</f>
        <v>260</v>
      </c>
      <c r="E62" s="1"/>
      <c r="F62" s="134" t="s">
        <v>62</v>
      </c>
      <c r="G62" s="154" t="s">
        <v>45</v>
      </c>
      <c r="H62" s="155">
        <f>H59</f>
        <v>3.778782997762864</v>
      </c>
      <c r="I62" s="140"/>
      <c r="K62" s="120" t="s">
        <v>363</v>
      </c>
      <c r="L62" s="121">
        <v>11</v>
      </c>
      <c r="M62" s="121">
        <v>91.066666666666663</v>
      </c>
      <c r="N62" s="209"/>
    </row>
    <row r="63" spans="1:14" x14ac:dyDescent="0.2">
      <c r="A63" s="109"/>
      <c r="B63" s="151" t="s">
        <v>41</v>
      </c>
      <c r="C63" s="153" t="s">
        <v>43</v>
      </c>
      <c r="D63" s="132">
        <v>16.399999999999999</v>
      </c>
      <c r="E63" s="1"/>
      <c r="F63" s="151"/>
      <c r="G63" s="153" t="s">
        <v>46</v>
      </c>
      <c r="H63" s="14">
        <f>H60</f>
        <v>16.043201002237137</v>
      </c>
      <c r="I63" s="140"/>
      <c r="K63" s="120" t="s">
        <v>366</v>
      </c>
      <c r="L63" s="121">
        <v>15</v>
      </c>
      <c r="M63" s="121">
        <v>91.5</v>
      </c>
      <c r="N63" s="209"/>
    </row>
    <row r="64" spans="1:14" ht="15" x14ac:dyDescent="0.2">
      <c r="A64" s="129"/>
      <c r="B64" s="347"/>
      <c r="C64" s="346"/>
      <c r="D64" s="346"/>
      <c r="E64" s="131"/>
      <c r="F64" s="211"/>
      <c r="G64" s="211"/>
      <c r="H64" s="211"/>
      <c r="I64" s="159"/>
      <c r="K64" s="120" t="s">
        <v>368</v>
      </c>
      <c r="L64" s="121">
        <v>18.5</v>
      </c>
      <c r="M64" s="121">
        <v>92.233333333333348</v>
      </c>
      <c r="N64" s="209"/>
    </row>
    <row r="65" spans="1:14" x14ac:dyDescent="0.2">
      <c r="A65" s="208"/>
      <c r="K65" s="120" t="s">
        <v>370</v>
      </c>
      <c r="L65" s="121">
        <v>22</v>
      </c>
      <c r="M65" s="121">
        <v>92.666666666666671</v>
      </c>
      <c r="N65" s="209"/>
    </row>
    <row r="66" spans="1:14" ht="15" x14ac:dyDescent="0.2">
      <c r="A66" s="208"/>
      <c r="F66" s="318"/>
      <c r="G66" s="319" t="s">
        <v>1107</v>
      </c>
      <c r="H66" s="319" t="s">
        <v>1091</v>
      </c>
      <c r="K66" s="120" t="s">
        <v>372</v>
      </c>
      <c r="L66" s="121">
        <v>30</v>
      </c>
      <c r="M66" s="121">
        <v>93.066666666666677</v>
      </c>
      <c r="N66" s="209"/>
    </row>
    <row r="67" spans="1:14" ht="28.5" x14ac:dyDescent="0.2">
      <c r="A67" s="208"/>
      <c r="F67" s="489" t="s">
        <v>1109</v>
      </c>
      <c r="G67" s="481">
        <f>+($H$62+$H$63)</f>
        <v>19.821984</v>
      </c>
      <c r="H67" s="481">
        <v>0</v>
      </c>
      <c r="K67" s="120" t="s">
        <v>374</v>
      </c>
      <c r="L67" s="121">
        <v>37</v>
      </c>
      <c r="M67" s="121">
        <v>93.399999999999991</v>
      </c>
      <c r="N67" s="209"/>
    </row>
    <row r="68" spans="1:14" ht="28.5" x14ac:dyDescent="0.2">
      <c r="A68" s="208"/>
      <c r="F68" s="489" t="s">
        <v>1110</v>
      </c>
      <c r="G68" s="481">
        <f>+$H$62</f>
        <v>3.778782997762864</v>
      </c>
      <c r="H68" s="481">
        <f>+H60</f>
        <v>16.043201002237137</v>
      </c>
      <c r="K68" s="120" t="s">
        <v>376</v>
      </c>
      <c r="L68" s="121">
        <v>45</v>
      </c>
      <c r="M68" s="121">
        <v>93.8</v>
      </c>
      <c r="N68" s="209"/>
    </row>
    <row r="69" spans="1:14" x14ac:dyDescent="0.2">
      <c r="A69" s="208"/>
      <c r="K69" s="120" t="s">
        <v>377</v>
      </c>
      <c r="L69" s="121">
        <v>55</v>
      </c>
      <c r="M69" s="121">
        <v>94.09999999999998</v>
      </c>
      <c r="N69" s="209"/>
    </row>
    <row r="70" spans="1:14" x14ac:dyDescent="0.2">
      <c r="A70" s="208"/>
      <c r="K70" s="120" t="s">
        <v>379</v>
      </c>
      <c r="L70" s="121">
        <v>75</v>
      </c>
      <c r="M70" s="121">
        <v>94.433333333333323</v>
      </c>
      <c r="N70" s="209"/>
    </row>
    <row r="71" spans="1:14" x14ac:dyDescent="0.2">
      <c r="A71" s="208"/>
      <c r="K71" s="120" t="s">
        <v>380</v>
      </c>
      <c r="L71" s="121">
        <v>90</v>
      </c>
      <c r="M71" s="121">
        <v>94.733333333333334</v>
      </c>
      <c r="N71" s="209"/>
    </row>
    <row r="72" spans="1:14" x14ac:dyDescent="0.2">
      <c r="A72" s="208"/>
      <c r="K72" s="120" t="s">
        <v>381</v>
      </c>
      <c r="L72" s="121">
        <v>110</v>
      </c>
      <c r="M72" s="121">
        <v>95.033333333333346</v>
      </c>
      <c r="N72" s="209"/>
    </row>
    <row r="73" spans="1:14" x14ac:dyDescent="0.2">
      <c r="A73" s="208"/>
      <c r="K73" s="120" t="s">
        <v>382</v>
      </c>
      <c r="L73" s="121">
        <v>132</v>
      </c>
      <c r="M73" s="121">
        <v>95.2</v>
      </c>
      <c r="N73" s="209"/>
    </row>
    <row r="74" spans="1:14" x14ac:dyDescent="0.2">
      <c r="A74" s="208"/>
      <c r="K74" s="120" t="s">
        <v>383</v>
      </c>
      <c r="L74" s="121">
        <v>150</v>
      </c>
      <c r="M74" s="121">
        <v>95.366666666666674</v>
      </c>
      <c r="N74" s="209"/>
    </row>
    <row r="75" spans="1:14" x14ac:dyDescent="0.2">
      <c r="A75" s="208"/>
      <c r="K75" s="120" t="s">
        <v>384</v>
      </c>
      <c r="L75" s="121">
        <v>185</v>
      </c>
      <c r="M75" s="121">
        <v>95.600000000000009</v>
      </c>
      <c r="N75" s="209"/>
    </row>
    <row r="76" spans="1:14" x14ac:dyDescent="0.2">
      <c r="A76" s="208"/>
      <c r="K76" s="120" t="s">
        <v>385</v>
      </c>
      <c r="L76" s="121">
        <v>200</v>
      </c>
      <c r="M76" s="121">
        <v>95.7</v>
      </c>
      <c r="N76" s="209"/>
    </row>
    <row r="77" spans="1:14" x14ac:dyDescent="0.2">
      <c r="A77" s="210"/>
      <c r="B77" s="211"/>
      <c r="C77" s="211"/>
      <c r="D77" s="211"/>
      <c r="E77" s="211"/>
      <c r="F77" s="211"/>
      <c r="G77" s="211"/>
      <c r="H77" s="211"/>
      <c r="I77" s="211"/>
      <c r="J77" s="211"/>
      <c r="K77" s="211"/>
      <c r="L77" s="211"/>
      <c r="M77" s="211"/>
      <c r="N77" s="212"/>
    </row>
    <row r="78" spans="1:14" x14ac:dyDescent="0.2"/>
    <row r="79" spans="1:14" x14ac:dyDescent="0.2"/>
    <row r="80" spans="1:14" x14ac:dyDescent="0.2"/>
  </sheetData>
  <mergeCells count="6">
    <mergeCell ref="C59:D59"/>
    <mergeCell ref="C9:D9"/>
    <mergeCell ref="B10:B15"/>
    <mergeCell ref="C29:D29"/>
    <mergeCell ref="B30:B35"/>
    <mergeCell ref="C45:D45"/>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0E589-698A-40E5-B507-1EE50F586B5E}">
  <dimension ref="A1:G21"/>
  <sheetViews>
    <sheetView workbookViewId="0">
      <selection activeCell="D21" sqref="D21"/>
    </sheetView>
  </sheetViews>
  <sheetFormatPr baseColWidth="10" defaultColWidth="0" defaultRowHeight="15" zeroHeight="1" x14ac:dyDescent="0.2"/>
  <cols>
    <col min="1" max="1" width="3.5" style="225" customWidth="1"/>
    <col min="2" max="2" width="11" style="286" customWidth="1"/>
    <col min="3" max="3" width="92.25" style="225" customWidth="1"/>
    <col min="4" max="4" width="12.125" style="287" bestFit="1" customWidth="1"/>
    <col min="5" max="5" width="14.875" style="286" customWidth="1"/>
    <col min="6" max="6" width="22.5" style="287" bestFit="1" customWidth="1"/>
    <col min="7" max="7" width="3" style="225" customWidth="1"/>
    <col min="8" max="16384" width="11" style="225" hidden="1"/>
  </cols>
  <sheetData>
    <row r="1" spans="1:7" ht="18.75" customHeight="1" thickBot="1" x14ac:dyDescent="0.25">
      <c r="A1" s="4"/>
      <c r="B1" s="285"/>
      <c r="C1" s="4"/>
      <c r="D1" s="285"/>
      <c r="E1" s="285"/>
      <c r="F1" s="285"/>
      <c r="G1" s="4"/>
    </row>
    <row r="2" spans="1:7" s="226" customFormat="1" ht="20.100000000000001" customHeight="1" x14ac:dyDescent="0.2">
      <c r="A2" s="4"/>
      <c r="B2" s="299" t="s">
        <v>616</v>
      </c>
      <c r="C2" s="300" t="s">
        <v>799</v>
      </c>
      <c r="D2" s="301" t="s">
        <v>619</v>
      </c>
      <c r="E2" s="300" t="s">
        <v>620</v>
      </c>
      <c r="F2" s="302" t="s">
        <v>617</v>
      </c>
      <c r="G2" s="4"/>
    </row>
    <row r="3" spans="1:7" x14ac:dyDescent="0.2">
      <c r="A3" s="4"/>
      <c r="B3" s="291">
        <v>44197</v>
      </c>
      <c r="C3" s="288" t="s">
        <v>618</v>
      </c>
      <c r="D3" s="289">
        <v>10000</v>
      </c>
      <c r="E3" s="290">
        <v>365</v>
      </c>
      <c r="F3" s="292">
        <v>4.5</v>
      </c>
      <c r="G3" s="4"/>
    </row>
    <row r="4" spans="1:7" x14ac:dyDescent="0.2">
      <c r="A4" s="4"/>
      <c r="B4" s="293"/>
      <c r="C4" s="288"/>
      <c r="D4" s="289"/>
      <c r="E4" s="290"/>
      <c r="F4" s="292"/>
      <c r="G4" s="4"/>
    </row>
    <row r="5" spans="1:7" x14ac:dyDescent="0.2">
      <c r="A5" s="4"/>
      <c r="B5" s="293"/>
      <c r="C5" s="288"/>
      <c r="D5" s="289"/>
      <c r="E5" s="290"/>
      <c r="F5" s="292"/>
      <c r="G5" s="4"/>
    </row>
    <row r="6" spans="1:7" x14ac:dyDescent="0.2">
      <c r="A6" s="4"/>
      <c r="B6" s="293"/>
      <c r="C6" s="288"/>
      <c r="D6" s="289"/>
      <c r="E6" s="290"/>
      <c r="F6" s="292"/>
      <c r="G6" s="4"/>
    </row>
    <row r="7" spans="1:7" x14ac:dyDescent="0.2">
      <c r="A7" s="4"/>
      <c r="B7" s="293"/>
      <c r="C7" s="288"/>
      <c r="D7" s="289"/>
      <c r="E7" s="290"/>
      <c r="F7" s="292"/>
      <c r="G7" s="4"/>
    </row>
    <row r="8" spans="1:7" x14ac:dyDescent="0.2">
      <c r="A8" s="4"/>
      <c r="B8" s="293"/>
      <c r="C8" s="288"/>
      <c r="D8" s="289"/>
      <c r="E8" s="290"/>
      <c r="F8" s="292"/>
      <c r="G8" s="4"/>
    </row>
    <row r="9" spans="1:7" x14ac:dyDescent="0.2">
      <c r="A9" s="4"/>
      <c r="B9" s="293"/>
      <c r="C9" s="288"/>
      <c r="D9" s="289"/>
      <c r="E9" s="290"/>
      <c r="F9" s="292"/>
      <c r="G9" s="4"/>
    </row>
    <row r="10" spans="1:7" x14ac:dyDescent="0.2">
      <c r="A10" s="4"/>
      <c r="B10" s="293"/>
      <c r="C10" s="288"/>
      <c r="D10" s="289"/>
      <c r="E10" s="290"/>
      <c r="F10" s="292"/>
      <c r="G10" s="4"/>
    </row>
    <row r="11" spans="1:7" x14ac:dyDescent="0.2">
      <c r="A11" s="4"/>
      <c r="B11" s="293"/>
      <c r="C11" s="288"/>
      <c r="D11" s="289"/>
      <c r="E11" s="290"/>
      <c r="F11" s="292"/>
      <c r="G11" s="4"/>
    </row>
    <row r="12" spans="1:7" x14ac:dyDescent="0.2">
      <c r="A12" s="4"/>
      <c r="B12" s="293"/>
      <c r="C12" s="288"/>
      <c r="D12" s="289"/>
      <c r="E12" s="290"/>
      <c r="F12" s="292"/>
      <c r="G12" s="4"/>
    </row>
    <row r="13" spans="1:7" x14ac:dyDescent="0.2">
      <c r="A13" s="4"/>
      <c r="B13" s="293"/>
      <c r="C13" s="288"/>
      <c r="D13" s="289"/>
      <c r="E13" s="290"/>
      <c r="F13" s="292"/>
      <c r="G13" s="4"/>
    </row>
    <row r="14" spans="1:7" x14ac:dyDescent="0.2">
      <c r="A14" s="4"/>
      <c r="B14" s="293"/>
      <c r="C14" s="288"/>
      <c r="D14" s="289"/>
      <c r="E14" s="290"/>
      <c r="F14" s="292"/>
      <c r="G14" s="4"/>
    </row>
    <row r="15" spans="1:7" x14ac:dyDescent="0.2">
      <c r="A15" s="4"/>
      <c r="B15" s="293"/>
      <c r="C15" s="288"/>
      <c r="D15" s="289"/>
      <c r="E15" s="290"/>
      <c r="F15" s="292"/>
      <c r="G15" s="4"/>
    </row>
    <row r="16" spans="1:7" x14ac:dyDescent="0.2">
      <c r="A16" s="4"/>
      <c r="B16" s="293"/>
      <c r="C16" s="288"/>
      <c r="D16" s="289"/>
      <c r="E16" s="290"/>
      <c r="F16" s="292"/>
      <c r="G16" s="4"/>
    </row>
    <row r="17" spans="1:7" x14ac:dyDescent="0.2">
      <c r="A17" s="4"/>
      <c r="B17" s="293"/>
      <c r="C17" s="288"/>
      <c r="D17" s="289"/>
      <c r="E17" s="290"/>
      <c r="F17" s="292"/>
      <c r="G17" s="4"/>
    </row>
    <row r="18" spans="1:7" x14ac:dyDescent="0.2">
      <c r="A18" s="4"/>
      <c r="B18" s="293"/>
      <c r="C18" s="288"/>
      <c r="D18" s="289"/>
      <c r="E18" s="290"/>
      <c r="F18" s="292"/>
      <c r="G18" s="4"/>
    </row>
    <row r="19" spans="1:7" ht="15.75" thickBot="1" x14ac:dyDescent="0.25">
      <c r="A19" s="4"/>
      <c r="B19" s="294"/>
      <c r="C19" s="295"/>
      <c r="D19" s="296"/>
      <c r="E19" s="297"/>
      <c r="F19" s="298"/>
      <c r="G19" s="4"/>
    </row>
    <row r="20" spans="1:7" x14ac:dyDescent="0.2">
      <c r="A20" s="4"/>
      <c r="B20" s="285"/>
      <c r="C20" s="4"/>
      <c r="D20" s="285"/>
      <c r="E20" s="285"/>
      <c r="F20" s="285"/>
      <c r="G20" s="4"/>
    </row>
    <row r="21" spans="1:7" x14ac:dyDescent="0.2">
      <c r="A21" s="4"/>
      <c r="B21" s="285"/>
      <c r="C21" s="4"/>
      <c r="D21" s="285"/>
      <c r="E21" s="285"/>
      <c r="F21" s="285"/>
      <c r="G21"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39EE2B7-EE23-4243-A1FC-C634D28E7D6C}">
          <x14:formula1>
            <xm:f>ResumenItems!$E$2:$E$33</xm:f>
          </x14:formula1>
          <xm:sqref>C3:C19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164B0-626A-4C01-9B21-CF2953689C93}">
  <dimension ref="A1:E33"/>
  <sheetViews>
    <sheetView topLeftCell="E1" workbookViewId="0">
      <selection activeCell="E26" sqref="E26"/>
    </sheetView>
  </sheetViews>
  <sheetFormatPr baseColWidth="10" defaultColWidth="11" defaultRowHeight="15" x14ac:dyDescent="0.2"/>
  <cols>
    <col min="1" max="1" width="4.25" style="225" hidden="1" customWidth="1"/>
    <col min="2" max="2" width="50.5" style="225" hidden="1" customWidth="1"/>
    <col min="3" max="3" width="4.25" style="225" hidden="1" customWidth="1"/>
    <col min="4" max="4" width="82" style="225" hidden="1" customWidth="1"/>
    <col min="5" max="5" width="123.875" style="225" bestFit="1" customWidth="1"/>
    <col min="6" max="16384" width="11" style="225"/>
  </cols>
  <sheetData>
    <row r="1" spans="1:5" x14ac:dyDescent="0.2">
      <c r="A1" s="225" t="s">
        <v>588</v>
      </c>
      <c r="B1" s="225" t="s">
        <v>589</v>
      </c>
      <c r="C1" s="225" t="s">
        <v>590</v>
      </c>
      <c r="D1" s="225" t="s">
        <v>591</v>
      </c>
    </row>
    <row r="2" spans="1:5" x14ac:dyDescent="0.2">
      <c r="A2" s="225">
        <v>1</v>
      </c>
      <c r="B2" s="225" t="s">
        <v>592</v>
      </c>
      <c r="C2" s="225" t="s">
        <v>427</v>
      </c>
      <c r="D2" s="225" t="s">
        <v>593</v>
      </c>
      <c r="E2" s="225" t="str">
        <f>A2&amp;" - "&amp;B2&amp;" - "&amp;C2&amp;". "&amp;D2</f>
        <v>1 - Edificios Ecológicos - A. LEED</v>
      </c>
    </row>
    <row r="3" spans="1:5" x14ac:dyDescent="0.2">
      <c r="A3" s="225">
        <v>1</v>
      </c>
      <c r="B3" s="225" t="s">
        <v>592</v>
      </c>
      <c r="C3" s="225" t="s">
        <v>428</v>
      </c>
      <c r="D3" s="225" t="s">
        <v>594</v>
      </c>
      <c r="E3" s="225" t="str">
        <f t="shared" ref="E3:E33" si="0">A3&amp;" - "&amp;B3&amp;" - "&amp;C3&amp;". "&amp;D3</f>
        <v>1 - Edificios Ecológicos - B. EDGE</v>
      </c>
    </row>
    <row r="4" spans="1:5" x14ac:dyDescent="0.2">
      <c r="A4" s="225">
        <v>1</v>
      </c>
      <c r="B4" s="225" t="s">
        <v>592</v>
      </c>
      <c r="C4" s="225" t="s">
        <v>432</v>
      </c>
      <c r="D4" s="225" t="s">
        <v>595</v>
      </c>
      <c r="E4" s="225" t="str">
        <f t="shared" si="0"/>
        <v>1 - Edificios Ecológicos - C. BREEM</v>
      </c>
    </row>
    <row r="5" spans="1:5" x14ac:dyDescent="0.2">
      <c r="A5" s="225">
        <v>1</v>
      </c>
      <c r="B5" s="225" t="s">
        <v>592</v>
      </c>
      <c r="C5" s="225" t="s">
        <v>434</v>
      </c>
      <c r="D5" s="225" t="s">
        <v>596</v>
      </c>
      <c r="E5" s="225" t="str">
        <f t="shared" si="0"/>
        <v>1 - Edificios Ecológicos - D. Punto verde</v>
      </c>
    </row>
    <row r="6" spans="1:5" x14ac:dyDescent="0.2">
      <c r="A6" s="225">
        <v>1</v>
      </c>
      <c r="B6" s="225" t="s">
        <v>592</v>
      </c>
      <c r="C6" s="225" t="s">
        <v>436</v>
      </c>
      <c r="D6" s="225" t="s">
        <v>597</v>
      </c>
      <c r="E6" s="225" t="str">
        <f t="shared" si="0"/>
        <v>1 - Edificios Ecológicos - E. Edificios avalados por la SEA</v>
      </c>
    </row>
    <row r="7" spans="1:5" x14ac:dyDescent="0.2">
      <c r="A7" s="225">
        <v>2</v>
      </c>
      <c r="B7" s="225" t="s">
        <v>598</v>
      </c>
      <c r="C7" s="225" t="s">
        <v>427</v>
      </c>
      <c r="D7" s="225" t="s">
        <v>5</v>
      </c>
      <c r="E7" s="225" t="str">
        <f t="shared" si="0"/>
        <v>2 - Eficiencia energética - A. Adquisición de maquinaria y equipos que cuenten con sellos de alta eficiencia en el mercado</v>
      </c>
    </row>
    <row r="8" spans="1:5" x14ac:dyDescent="0.2">
      <c r="A8" s="225">
        <v>2</v>
      </c>
      <c r="B8" s="225" t="s">
        <v>598</v>
      </c>
      <c r="C8" s="225" t="s">
        <v>428</v>
      </c>
      <c r="D8" s="225" t="s">
        <v>6</v>
      </c>
      <c r="E8" s="225" t="str">
        <f t="shared" si="0"/>
        <v>2 - Eficiencia energética - B. Aires acondicionados con etiqueta A, inverter con uso de refrigerante R410</v>
      </c>
    </row>
    <row r="9" spans="1:5" x14ac:dyDescent="0.2">
      <c r="A9" s="225">
        <v>2</v>
      </c>
      <c r="B9" s="225" t="s">
        <v>598</v>
      </c>
      <c r="C9" s="225" t="s">
        <v>432</v>
      </c>
      <c r="D9" s="225" t="s">
        <v>599</v>
      </c>
      <c r="E9" s="225" t="str">
        <f t="shared" si="0"/>
        <v>2 - Eficiencia energética - C. Electrodomésticos y equipos con etiqueta energética “A</v>
      </c>
    </row>
    <row r="10" spans="1:5" x14ac:dyDescent="0.2">
      <c r="A10" s="225">
        <v>2</v>
      </c>
      <c r="B10" s="225" t="s">
        <v>598</v>
      </c>
      <c r="C10" s="225" t="s">
        <v>434</v>
      </c>
      <c r="D10" s="225" t="s">
        <v>49</v>
      </c>
      <c r="E10" s="225" t="str">
        <f t="shared" si="0"/>
        <v>2 - Eficiencia energética - D. Iluminación LED o sistemas de control y automatización de luminarias (domótica)</v>
      </c>
    </row>
    <row r="11" spans="1:5" x14ac:dyDescent="0.2">
      <c r="A11" s="225">
        <v>2</v>
      </c>
      <c r="B11" s="225" t="s">
        <v>598</v>
      </c>
      <c r="C11" s="225" t="s">
        <v>436</v>
      </c>
      <c r="D11" s="225" t="s">
        <v>454</v>
      </c>
      <c r="E11" s="225" t="str">
        <f t="shared" si="0"/>
        <v>2 - Eficiencia energética - E. Cocinas de inducción</v>
      </c>
    </row>
    <row r="12" spans="1:5" x14ac:dyDescent="0.2">
      <c r="A12" s="225">
        <v>3</v>
      </c>
      <c r="B12" s="225" t="s">
        <v>600</v>
      </c>
      <c r="C12" s="225" t="s">
        <v>427</v>
      </c>
      <c r="D12" s="225" t="s">
        <v>601</v>
      </c>
      <c r="E12" s="225" t="str">
        <f t="shared" si="0"/>
        <v>3 - Energía renovable - A.  Paneles solares térmicos para calentamiento de agua</v>
      </c>
    </row>
    <row r="13" spans="1:5" x14ac:dyDescent="0.2">
      <c r="A13" s="225">
        <v>3</v>
      </c>
      <c r="B13" s="225" t="s">
        <v>600</v>
      </c>
      <c r="C13" s="225" t="s">
        <v>428</v>
      </c>
      <c r="D13" s="225" t="s">
        <v>578</v>
      </c>
      <c r="E13" s="225" t="str">
        <f t="shared" si="0"/>
        <v>3 - Energía renovable - B. Paneles solares fotovoltaicos para generación de electricidad</v>
      </c>
    </row>
    <row r="14" spans="1:5" x14ac:dyDescent="0.2">
      <c r="A14" s="225">
        <v>3</v>
      </c>
      <c r="B14" s="225" t="s">
        <v>600</v>
      </c>
      <c r="C14" s="225" t="s">
        <v>432</v>
      </c>
      <c r="D14" s="225" t="s">
        <v>602</v>
      </c>
      <c r="E14" s="225" t="str">
        <f t="shared" si="0"/>
        <v>3 - Energía renovable - C.  Cercas eléctricas con paneles solares</v>
      </c>
    </row>
    <row r="15" spans="1:5" x14ac:dyDescent="0.2">
      <c r="A15" s="225">
        <v>3</v>
      </c>
      <c r="B15" s="225" t="s">
        <v>600</v>
      </c>
      <c r="C15" s="225" t="s">
        <v>434</v>
      </c>
      <c r="D15" s="225" t="s">
        <v>582</v>
      </c>
      <c r="E15" s="225" t="str">
        <f t="shared" si="0"/>
        <v>3 - Energía renovable - D. Lámparas solares</v>
      </c>
    </row>
    <row r="16" spans="1:5" x14ac:dyDescent="0.2">
      <c r="A16" s="225">
        <v>3</v>
      </c>
      <c r="B16" s="225" t="s">
        <v>600</v>
      </c>
      <c r="C16" s="225" t="s">
        <v>436</v>
      </c>
      <c r="D16" s="225" t="s">
        <v>603</v>
      </c>
      <c r="E16" s="225" t="str">
        <f t="shared" si="0"/>
        <v xml:space="preserve">3 - Energía renovable - E. Calderas de biomasa cuya fuente energética sea desechos orgánicos o pellets </v>
      </c>
    </row>
    <row r="17" spans="1:5" x14ac:dyDescent="0.2">
      <c r="A17" s="225">
        <v>3</v>
      </c>
      <c r="B17" s="225" t="s">
        <v>600</v>
      </c>
      <c r="C17" s="225" t="s">
        <v>440</v>
      </c>
      <c r="D17" s="225" t="s">
        <v>604</v>
      </c>
      <c r="E17" s="225" t="str">
        <f t="shared" si="0"/>
        <v>3 - Energía renovable - F. Biodigestores</v>
      </c>
    </row>
    <row r="18" spans="1:5" x14ac:dyDescent="0.2">
      <c r="A18" s="225">
        <v>4</v>
      </c>
      <c r="B18" s="225" t="s">
        <v>605</v>
      </c>
      <c r="C18" s="225" t="s">
        <v>427</v>
      </c>
      <c r="D18" s="225" t="s">
        <v>606</v>
      </c>
      <c r="E18" s="225" t="str">
        <f t="shared" si="0"/>
        <v>4 - Gestión Sostenible del Agua y Aguas Residuales - A.  Sistemas de recolección, almacenamiento y distribución de agua de lluvia</v>
      </c>
    </row>
    <row r="19" spans="1:5" x14ac:dyDescent="0.2">
      <c r="A19" s="225">
        <v>4</v>
      </c>
      <c r="B19" s="225" t="s">
        <v>605</v>
      </c>
      <c r="C19" s="225" t="s">
        <v>428</v>
      </c>
      <c r="D19" s="225" t="s">
        <v>174</v>
      </c>
      <c r="E19" s="225" t="str">
        <f t="shared" si="0"/>
        <v>4 - Gestión Sostenible del Agua y Aguas Residuales - B. Planta de tratamiento de aguas residuales</v>
      </c>
    </row>
    <row r="20" spans="1:5" x14ac:dyDescent="0.2">
      <c r="A20" s="225">
        <v>4</v>
      </c>
      <c r="B20" s="225" t="s">
        <v>605</v>
      </c>
      <c r="C20" s="225" t="s">
        <v>432</v>
      </c>
      <c r="D20" s="225" t="s">
        <v>180</v>
      </c>
      <c r="E20" s="225" t="str">
        <f t="shared" si="0"/>
        <v>4 - Gestión Sostenible del Agua y Aguas Residuales - C. Construcción de reservorios o albarradas</v>
      </c>
    </row>
    <row r="21" spans="1:5" x14ac:dyDescent="0.2">
      <c r="A21" s="225">
        <v>4</v>
      </c>
      <c r="B21" s="225" t="s">
        <v>605</v>
      </c>
      <c r="C21" s="225" t="s">
        <v>434</v>
      </c>
      <c r="D21" s="225" t="s">
        <v>183</v>
      </c>
      <c r="E21" s="225" t="str">
        <f t="shared" si="0"/>
        <v>4 - Gestión Sostenible del Agua y Aguas Residuales - D. Sistemas de recuperación de agua con tratamiento para reutilización 100% (industrial, agrícola o comercial)</v>
      </c>
    </row>
    <row r="22" spans="1:5" x14ac:dyDescent="0.2">
      <c r="A22" s="225">
        <v>5</v>
      </c>
      <c r="B22" s="225" t="s">
        <v>607</v>
      </c>
      <c r="C22" s="225" t="s">
        <v>427</v>
      </c>
      <c r="D22" s="225" t="s">
        <v>608</v>
      </c>
      <c r="E22" s="225" t="str">
        <f t="shared" si="0"/>
        <v>5 - Gestión Sostenible de Recursos Naturales  (Agricultura sostenible) - A. Certificaciones agrícolas sostenibles</v>
      </c>
    </row>
    <row r="23" spans="1:5" x14ac:dyDescent="0.2">
      <c r="A23" s="225">
        <v>5</v>
      </c>
      <c r="B23" s="225" t="s">
        <v>607</v>
      </c>
      <c r="C23" s="225" t="s">
        <v>428</v>
      </c>
      <c r="D23" s="225" t="s">
        <v>525</v>
      </c>
      <c r="E23" s="225" t="str">
        <f t="shared" si="0"/>
        <v xml:space="preserve">5 - Gestión Sostenible de Recursos Naturales  (Agricultura sostenible) - B. Sistema de fertirrigación/ hidroponía con insumos orgánicos o sello verde.  </v>
      </c>
    </row>
    <row r="24" spans="1:5" x14ac:dyDescent="0.2">
      <c r="A24" s="225">
        <v>5</v>
      </c>
      <c r="B24" s="225" t="s">
        <v>607</v>
      </c>
      <c r="C24" s="225" t="s">
        <v>432</v>
      </c>
      <c r="D24" s="225" t="s">
        <v>501</v>
      </c>
      <c r="E24" s="225" t="str">
        <f t="shared" si="0"/>
        <v xml:space="preserve">5 - Gestión Sostenible de Recursos Naturales  (Agricultura sostenible) - C. Sistemas de riego por goteo o microaspersión   </v>
      </c>
    </row>
    <row r="25" spans="1:5" x14ac:dyDescent="0.2">
      <c r="A25" s="225">
        <v>5</v>
      </c>
      <c r="B25" s="225" t="s">
        <v>607</v>
      </c>
      <c r="C25" s="225" t="s">
        <v>434</v>
      </c>
      <c r="D25" s="225" t="s">
        <v>496</v>
      </c>
      <c r="E25" s="225" t="str">
        <f t="shared" si="0"/>
        <v xml:space="preserve">5 - Gestión Sostenible de Recursos Naturales  (Agricultura sostenible) - D. Invernaderos con sistemas hidropónicos y gestión adecuada de desecho   </v>
      </c>
    </row>
    <row r="26" spans="1:5" x14ac:dyDescent="0.2">
      <c r="A26" s="225">
        <v>5</v>
      </c>
      <c r="B26" s="225" t="s">
        <v>607</v>
      </c>
      <c r="C26" s="225" t="s">
        <v>436</v>
      </c>
      <c r="D26" s="225" t="s">
        <v>609</v>
      </c>
      <c r="E26" s="225" t="str">
        <f t="shared" si="0"/>
        <v xml:space="preserve">5 - Gestión Sostenible de Recursos Naturales  (Agricultura sostenible) - E. Lombricomposta  </v>
      </c>
    </row>
    <row r="27" spans="1:5" x14ac:dyDescent="0.2">
      <c r="A27" s="225">
        <v>5</v>
      </c>
      <c r="B27" s="225" t="s">
        <v>607</v>
      </c>
      <c r="C27" s="225" t="s">
        <v>440</v>
      </c>
      <c r="D27" s="225" t="s">
        <v>610</v>
      </c>
      <c r="E27" s="225" t="str">
        <f t="shared" si="0"/>
        <v xml:space="preserve">5 - Gestión Sostenible de Recursos Naturales  (Agricultura sostenible) - F. ISO 34101 para cacao sostenible y trazable; </v>
      </c>
    </row>
    <row r="28" spans="1:5" x14ac:dyDescent="0.2">
      <c r="A28" s="225">
        <v>5</v>
      </c>
      <c r="B28" s="225" t="s">
        <v>607</v>
      </c>
      <c r="C28" s="225" t="s">
        <v>441</v>
      </c>
      <c r="D28" s="225" t="s">
        <v>611</v>
      </c>
      <c r="E28" s="225" t="str">
        <f t="shared" si="0"/>
        <v>5 - Gestión Sostenible de Recursos Naturales  (Agricultura sostenible) - G. Productos y/o insumos orgánicos</v>
      </c>
    </row>
    <row r="29" spans="1:5" x14ac:dyDescent="0.2">
      <c r="A29" s="225">
        <v>5</v>
      </c>
      <c r="B29" s="225" t="s">
        <v>607</v>
      </c>
      <c r="C29" s="225" t="s">
        <v>612</v>
      </c>
      <c r="D29" s="225" t="s">
        <v>613</v>
      </c>
      <c r="E29" s="225" t="str">
        <f t="shared" si="0"/>
        <v>5 - Gestión Sostenible de Recursos Naturales  (Agricultura sostenible) - H. Certificaciones forestales sostenibles</v>
      </c>
    </row>
    <row r="30" spans="1:5" x14ac:dyDescent="0.2">
      <c r="A30" s="225">
        <v>6</v>
      </c>
      <c r="B30" s="225" t="s">
        <v>614</v>
      </c>
      <c r="C30" s="225" t="s">
        <v>427</v>
      </c>
      <c r="D30" s="225" t="s">
        <v>615</v>
      </c>
      <c r="E30" s="225" t="str">
        <f t="shared" si="0"/>
        <v xml:space="preserve">6 - Gestión Sostenible de 
Residuos   - A. Centros de reciclaje y/o centros de recompra de materiales reciclables  </v>
      </c>
    </row>
    <row r="31" spans="1:5" x14ac:dyDescent="0.2">
      <c r="A31" s="225">
        <v>6</v>
      </c>
      <c r="B31" s="225" t="s">
        <v>614</v>
      </c>
      <c r="C31" s="225" t="s">
        <v>428</v>
      </c>
      <c r="D31" s="225" t="s">
        <v>234</v>
      </c>
      <c r="E31" s="225" t="str">
        <f t="shared" si="0"/>
        <v xml:space="preserve">6 - Gestión Sostenible de 
Residuos   - B. Empresas de recolección de material de reciclaje   </v>
      </c>
    </row>
    <row r="32" spans="1:5" x14ac:dyDescent="0.2">
      <c r="A32" s="225">
        <v>6</v>
      </c>
      <c r="B32" s="225" t="s">
        <v>614</v>
      </c>
      <c r="C32" s="225" t="s">
        <v>432</v>
      </c>
      <c r="D32" s="225" t="s">
        <v>237</v>
      </c>
      <c r="E32" s="225" t="str">
        <f t="shared" si="0"/>
        <v xml:space="preserve">6 - Gestión Sostenible de 
Residuos   - C. Empresas de gestión de residuos especiales  </v>
      </c>
    </row>
    <row r="33" spans="1:5" x14ac:dyDescent="0.2">
      <c r="A33" s="225">
        <v>6</v>
      </c>
      <c r="B33" s="225" t="s">
        <v>614</v>
      </c>
      <c r="C33" s="225" t="s">
        <v>434</v>
      </c>
      <c r="D33" s="225" t="s">
        <v>244</v>
      </c>
      <c r="E33" s="225" t="str">
        <f t="shared" si="0"/>
        <v>6 - Gestión Sostenible de 
Residuos   - D. Instalaciones para la producción de compostaje a partir de residuos orgánicos</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D01F3-9421-4D97-8B31-304C5BCA029D}">
  <dimension ref="A1:E10"/>
  <sheetViews>
    <sheetView showGridLines="0" workbookViewId="0"/>
  </sheetViews>
  <sheetFormatPr baseColWidth="10" defaultRowHeight="14.25" x14ac:dyDescent="0.2"/>
  <cols>
    <col min="2" max="2" width="24.75" customWidth="1"/>
    <col min="4" max="4" width="34.75" customWidth="1"/>
    <col min="6" max="6" width="34.75" customWidth="1"/>
  </cols>
  <sheetData>
    <row r="1" spans="1:5" ht="127.5" customHeight="1" x14ac:dyDescent="0.2">
      <c r="A1" s="508" t="s">
        <v>56</v>
      </c>
    </row>
    <row r="2" spans="1:5" ht="127.5" customHeight="1" x14ac:dyDescent="0.2">
      <c r="A2" s="508" t="s">
        <v>57</v>
      </c>
    </row>
    <row r="3" spans="1:5" ht="127.5" customHeight="1" x14ac:dyDescent="0.2">
      <c r="A3" s="508" t="s">
        <v>58</v>
      </c>
    </row>
    <row r="4" spans="1:5" ht="127.5" customHeight="1" x14ac:dyDescent="0.2">
      <c r="A4" s="508" t="s">
        <v>59</v>
      </c>
    </row>
    <row r="6" spans="1:5" ht="160.5" customHeight="1" x14ac:dyDescent="0.2">
      <c r="C6" s="508" t="s">
        <v>643</v>
      </c>
    </row>
    <row r="7" spans="1:5" ht="160.5" customHeight="1" x14ac:dyDescent="0.2">
      <c r="C7" s="508" t="s">
        <v>644</v>
      </c>
    </row>
    <row r="9" spans="1:5" ht="160.5" customHeight="1" x14ac:dyDescent="0.2">
      <c r="E9" s="508" t="s">
        <v>643</v>
      </c>
    </row>
    <row r="10" spans="1:5" ht="160.5" customHeight="1" x14ac:dyDescent="0.2">
      <c r="E10" s="508" t="s">
        <v>644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C041E-97F3-4D7C-9C87-741F7D5306CA}">
  <sheetPr>
    <tabColor theme="3" tint="-0.249977111117893"/>
  </sheetPr>
  <dimension ref="A1:R105"/>
  <sheetViews>
    <sheetView zoomScale="110" zoomScaleNormal="110" workbookViewId="0">
      <selection activeCell="M39" sqref="M39"/>
    </sheetView>
  </sheetViews>
  <sheetFormatPr baseColWidth="10" defaultColWidth="0" defaultRowHeight="14.25" zeroHeight="1" x14ac:dyDescent="0.2"/>
  <cols>
    <col min="1" max="1" width="2.625" customWidth="1"/>
    <col min="2" max="5" width="11" customWidth="1"/>
    <col min="6" max="6" width="3.625" customWidth="1"/>
    <col min="7" max="7" width="11" customWidth="1"/>
    <col min="8" max="8" width="2.625" customWidth="1"/>
    <col min="9" max="10" width="11" customWidth="1"/>
    <col min="11" max="12" width="2.625" customWidth="1"/>
    <col min="13" max="13" width="11" customWidth="1"/>
    <col min="14" max="14" width="2.625" customWidth="1"/>
    <col min="15" max="15" width="12.5" customWidth="1"/>
    <col min="16" max="16" width="2.625" customWidth="1"/>
    <col min="17" max="18" width="11" customWidth="1"/>
    <col min="19" max="16384" width="11" hidden="1"/>
  </cols>
  <sheetData>
    <row r="1" spans="1:18" x14ac:dyDescent="0.2">
      <c r="A1" s="2"/>
      <c r="B1" s="2"/>
      <c r="C1" s="3"/>
      <c r="D1" s="4"/>
      <c r="E1" s="4"/>
      <c r="F1" s="4"/>
      <c r="G1" s="4"/>
      <c r="H1" s="4"/>
      <c r="I1" s="4"/>
      <c r="J1" s="4"/>
      <c r="K1" s="4"/>
      <c r="L1" s="4"/>
      <c r="M1" s="4"/>
      <c r="N1" s="4"/>
      <c r="O1" s="4"/>
      <c r="P1" s="4"/>
      <c r="Q1" s="4"/>
      <c r="R1" s="4"/>
    </row>
    <row r="2" spans="1:18" x14ac:dyDescent="0.2">
      <c r="A2" s="2"/>
      <c r="B2" s="2"/>
      <c r="C2" s="3"/>
      <c r="D2" s="4"/>
      <c r="E2" s="4"/>
      <c r="F2" s="4"/>
      <c r="G2" s="4"/>
      <c r="H2" s="4"/>
      <c r="I2" s="4"/>
      <c r="J2" s="4"/>
      <c r="K2" s="4"/>
      <c r="L2" s="4"/>
      <c r="M2" s="4"/>
      <c r="N2" s="4"/>
      <c r="O2" s="4"/>
      <c r="P2" s="4"/>
      <c r="Q2" s="4"/>
      <c r="R2" s="4"/>
    </row>
    <row r="3" spans="1:18" x14ac:dyDescent="0.2">
      <c r="A3" s="2"/>
      <c r="B3" s="2"/>
      <c r="C3" s="568" t="s">
        <v>1</v>
      </c>
      <c r="D3" s="568"/>
      <c r="E3" s="568"/>
      <c r="F3" s="568"/>
      <c r="G3" s="568"/>
      <c r="H3" s="568"/>
      <c r="I3" s="568"/>
      <c r="J3" s="568"/>
      <c r="K3" s="568"/>
      <c r="L3" s="568"/>
      <c r="M3" s="4"/>
      <c r="N3" s="4"/>
      <c r="O3" s="4"/>
      <c r="P3" s="4"/>
      <c r="Q3" s="4"/>
      <c r="R3" s="4"/>
    </row>
    <row r="4" spans="1:18" x14ac:dyDescent="0.2">
      <c r="A4" s="2"/>
      <c r="B4" s="2"/>
      <c r="C4" s="5"/>
      <c r="D4" s="5"/>
      <c r="E4" s="5"/>
      <c r="F4" s="5"/>
      <c r="G4" s="5"/>
      <c r="H4" s="5"/>
      <c r="I4" s="5"/>
      <c r="J4" s="5"/>
      <c r="K4" s="18"/>
      <c r="L4" s="18"/>
      <c r="M4" s="4"/>
      <c r="N4" s="4"/>
      <c r="O4" s="4"/>
      <c r="P4" s="4"/>
      <c r="Q4" s="4"/>
      <c r="R4" s="4"/>
    </row>
    <row r="5" spans="1:18" x14ac:dyDescent="0.2">
      <c r="A5" s="2"/>
      <c r="B5" s="2"/>
      <c r="C5" s="5"/>
      <c r="D5" s="5"/>
      <c r="E5" s="5"/>
      <c r="F5" s="6"/>
      <c r="G5" s="499" t="s">
        <v>8</v>
      </c>
      <c r="H5" s="5"/>
      <c r="I5" s="5"/>
      <c r="J5" s="5"/>
      <c r="K5" s="18"/>
      <c r="L5" s="18"/>
      <c r="M5" s="4"/>
      <c r="N5" s="4"/>
      <c r="O5" s="4"/>
      <c r="P5" s="4"/>
      <c r="Q5" s="4"/>
      <c r="R5" s="4"/>
    </row>
    <row r="6" spans="1:18" x14ac:dyDescent="0.2">
      <c r="A6" s="2"/>
      <c r="B6" s="2"/>
      <c r="C6" s="5"/>
      <c r="D6" s="5"/>
      <c r="E6" s="5"/>
      <c r="F6" s="6"/>
      <c r="G6" s="499" t="s">
        <v>9</v>
      </c>
      <c r="H6" s="5"/>
      <c r="I6" s="5"/>
      <c r="J6" s="5"/>
      <c r="K6" s="18"/>
      <c r="L6" s="18"/>
      <c r="M6" s="4"/>
      <c r="N6" s="4"/>
      <c r="O6" s="4"/>
      <c r="P6" s="4"/>
      <c r="Q6" s="4"/>
      <c r="R6" s="4"/>
    </row>
    <row r="7" spans="1:18" x14ac:dyDescent="0.2">
      <c r="A7" s="2"/>
      <c r="B7" s="2"/>
      <c r="C7" s="5"/>
      <c r="D7" s="5"/>
      <c r="E7" s="5"/>
      <c r="F7" s="6"/>
      <c r="G7" s="499" t="s">
        <v>10</v>
      </c>
      <c r="H7" s="5"/>
      <c r="I7" s="5"/>
      <c r="J7" s="5"/>
      <c r="K7" s="18"/>
      <c r="L7" s="18"/>
      <c r="M7" s="4"/>
      <c r="N7" s="4"/>
      <c r="O7" s="4"/>
      <c r="P7" s="4"/>
      <c r="Q7" s="4"/>
      <c r="R7" s="4"/>
    </row>
    <row r="8" spans="1:18" x14ac:dyDescent="0.2">
      <c r="A8" s="2"/>
      <c r="B8" s="2"/>
      <c r="C8" s="5"/>
      <c r="D8" s="5"/>
      <c r="E8" s="5"/>
      <c r="F8" s="6"/>
      <c r="G8" s="499" t="s">
        <v>11</v>
      </c>
      <c r="H8" s="5"/>
      <c r="I8" s="5"/>
      <c r="J8" s="5"/>
      <c r="K8" s="18"/>
      <c r="L8" s="18"/>
      <c r="M8" s="4"/>
      <c r="N8" s="4"/>
      <c r="O8" s="4"/>
      <c r="P8" s="4"/>
      <c r="Q8" s="4"/>
      <c r="R8" s="4"/>
    </row>
    <row r="9" spans="1:18" x14ac:dyDescent="0.2">
      <c r="A9" s="2"/>
      <c r="B9" s="2"/>
      <c r="C9" s="5"/>
      <c r="D9" s="5"/>
      <c r="E9" s="5"/>
      <c r="F9" s="6"/>
      <c r="G9" s="500" t="s">
        <v>12</v>
      </c>
      <c r="H9" s="5"/>
      <c r="I9" s="5"/>
      <c r="J9" s="5"/>
      <c r="K9" s="18"/>
      <c r="L9" s="18"/>
      <c r="M9" s="4"/>
      <c r="N9" s="4"/>
      <c r="O9" s="4"/>
      <c r="P9" s="4"/>
      <c r="Q9" s="4"/>
      <c r="R9" s="4"/>
    </row>
    <row r="10" spans="1:18" x14ac:dyDescent="0.2">
      <c r="A10" s="2"/>
      <c r="B10" s="2"/>
      <c r="C10" s="5"/>
      <c r="D10" s="5"/>
      <c r="E10" s="5"/>
      <c r="F10" s="5"/>
      <c r="G10" s="5"/>
      <c r="H10" s="5"/>
      <c r="I10" s="5"/>
      <c r="J10" s="5"/>
      <c r="K10" s="18"/>
      <c r="L10" s="18"/>
      <c r="M10" s="4"/>
      <c r="N10" s="4"/>
      <c r="O10" s="4"/>
      <c r="P10" s="4"/>
      <c r="Q10" s="4"/>
      <c r="R10" s="4"/>
    </row>
    <row r="11" spans="1:18" x14ac:dyDescent="0.2">
      <c r="A11" s="2"/>
      <c r="B11" s="2"/>
      <c r="C11" s="3"/>
      <c r="D11" s="4"/>
      <c r="E11" s="4"/>
      <c r="F11" s="4"/>
      <c r="G11" s="4"/>
      <c r="H11" s="4"/>
      <c r="I11" s="4"/>
      <c r="J11" s="4"/>
      <c r="K11" s="4"/>
      <c r="L11" s="4"/>
      <c r="M11" s="4"/>
      <c r="N11" s="4"/>
      <c r="O11" s="4"/>
      <c r="P11" s="4"/>
      <c r="Q11" s="4"/>
      <c r="R11" s="4"/>
    </row>
    <row r="12" spans="1:18" ht="20.100000000000001" customHeight="1" x14ac:dyDescent="0.2">
      <c r="A12" s="2"/>
      <c r="B12" s="2"/>
      <c r="C12" s="3"/>
      <c r="D12" s="4"/>
      <c r="E12" s="564" t="s">
        <v>63</v>
      </c>
      <c r="F12" s="554" t="s">
        <v>2</v>
      </c>
      <c r="G12" s="554"/>
      <c r="H12" s="554"/>
      <c r="I12" s="554"/>
      <c r="J12" s="565" t="s">
        <v>7</v>
      </c>
      <c r="K12" s="565"/>
      <c r="L12" s="565"/>
      <c r="M12" s="565"/>
      <c r="N12" s="565"/>
      <c r="O12" s="565"/>
      <c r="P12" s="565"/>
      <c r="Q12" s="565"/>
      <c r="R12" s="4"/>
    </row>
    <row r="13" spans="1:18" ht="20.100000000000001" customHeight="1" x14ac:dyDescent="0.2">
      <c r="A13" s="2"/>
      <c r="B13" s="2"/>
      <c r="C13" s="3"/>
      <c r="D13" s="4"/>
      <c r="E13" s="564"/>
      <c r="F13" s="554" t="s">
        <v>3</v>
      </c>
      <c r="G13" s="554"/>
      <c r="H13" s="554"/>
      <c r="I13" s="554"/>
      <c r="J13" s="565" t="s">
        <v>1083</v>
      </c>
      <c r="K13" s="565"/>
      <c r="L13" s="565"/>
      <c r="M13" s="565"/>
      <c r="N13" s="565"/>
      <c r="O13" s="565"/>
      <c r="P13" s="565"/>
      <c r="Q13" s="565"/>
      <c r="R13" s="4"/>
    </row>
    <row r="14" spans="1:18" ht="80.099999999999994" customHeight="1" x14ac:dyDescent="0.2">
      <c r="A14" s="2"/>
      <c r="B14" s="2"/>
      <c r="C14" s="3"/>
      <c r="D14" s="4"/>
      <c r="E14" s="4"/>
      <c r="F14" s="554" t="s">
        <v>4</v>
      </c>
      <c r="G14" s="554"/>
      <c r="H14" s="554"/>
      <c r="I14" s="554"/>
      <c r="J14" s="558" t="s">
        <v>64</v>
      </c>
      <c r="K14" s="558"/>
      <c r="L14" s="558"/>
      <c r="M14" s="558"/>
      <c r="N14" s="558"/>
      <c r="O14" s="558"/>
      <c r="P14" s="558"/>
      <c r="Q14" s="558"/>
      <c r="R14" s="4"/>
    </row>
    <row r="15" spans="1:18" x14ac:dyDescent="0.2">
      <c r="A15" s="2"/>
      <c r="B15" s="2"/>
      <c r="C15" s="3"/>
      <c r="D15" s="4"/>
      <c r="E15" s="4"/>
      <c r="F15" s="4"/>
      <c r="G15" s="4"/>
      <c r="H15" s="4"/>
      <c r="I15" s="4"/>
      <c r="J15" s="4"/>
      <c r="K15" s="4"/>
      <c r="L15" s="4"/>
      <c r="M15" s="4"/>
      <c r="N15" s="4"/>
      <c r="O15" s="4"/>
      <c r="P15" s="4"/>
      <c r="Q15" s="4"/>
      <c r="R15" s="4"/>
    </row>
    <row r="16" spans="1:18" ht="15" customHeight="1" x14ac:dyDescent="0.2">
      <c r="A16" s="2"/>
      <c r="B16" s="2"/>
      <c r="C16" s="3"/>
      <c r="D16" s="4"/>
      <c r="E16" s="4"/>
      <c r="F16" s="512" t="s">
        <v>1116</v>
      </c>
      <c r="G16" s="513"/>
      <c r="H16" s="513"/>
      <c r="I16" s="513"/>
      <c r="J16" s="513"/>
      <c r="K16" s="513"/>
      <c r="L16" s="513"/>
      <c r="M16" s="513"/>
      <c r="N16" s="513"/>
      <c r="O16" s="513"/>
      <c r="P16" s="513"/>
      <c r="Q16" s="513"/>
      <c r="R16" s="4"/>
    </row>
    <row r="17" spans="1:18" ht="9.9499999999999993" customHeight="1" thickBot="1" x14ac:dyDescent="0.25">
      <c r="A17" s="2"/>
      <c r="B17" s="2"/>
      <c r="C17" s="3"/>
      <c r="D17" s="4"/>
      <c r="E17" s="4"/>
      <c r="F17" s="4"/>
      <c r="G17" s="4"/>
      <c r="H17" s="4"/>
      <c r="I17" s="4"/>
      <c r="J17" s="4"/>
      <c r="K17" s="4"/>
      <c r="L17" s="4"/>
      <c r="M17" s="4"/>
      <c r="N17" s="4"/>
      <c r="O17" s="4"/>
      <c r="P17" s="4"/>
      <c r="Q17" s="4"/>
      <c r="R17" s="4"/>
    </row>
    <row r="18" spans="1:18" ht="15" x14ac:dyDescent="0.2">
      <c r="A18" s="2"/>
      <c r="B18" s="2"/>
      <c r="C18" s="3"/>
      <c r="D18" s="4"/>
      <c r="E18" s="4"/>
      <c r="F18" s="553" t="s">
        <v>20</v>
      </c>
      <c r="G18" s="553"/>
      <c r="H18" s="553"/>
      <c r="I18" s="553"/>
      <c r="J18" s="553"/>
      <c r="K18" s="4"/>
      <c r="L18" s="514"/>
      <c r="M18" s="515"/>
      <c r="N18" s="515"/>
      <c r="O18" s="515"/>
      <c r="P18" s="515"/>
      <c r="Q18" s="516"/>
      <c r="R18" s="4"/>
    </row>
    <row r="19" spans="1:18" ht="9.9499999999999993" customHeight="1" x14ac:dyDescent="0.2">
      <c r="A19" s="2"/>
      <c r="B19" s="2"/>
      <c r="C19" s="3"/>
      <c r="D19" s="4"/>
      <c r="E19" s="4"/>
      <c r="F19" s="4"/>
      <c r="G19" s="4"/>
      <c r="H19" s="4"/>
      <c r="I19" s="4"/>
      <c r="J19" s="4"/>
      <c r="K19" s="4"/>
      <c r="L19" s="517"/>
      <c r="M19" s="415"/>
      <c r="N19" s="415"/>
      <c r="O19" s="560" t="s">
        <v>689</v>
      </c>
      <c r="P19" s="560"/>
      <c r="Q19" s="561"/>
      <c r="R19" s="4"/>
    </row>
    <row r="20" spans="1:18" x14ac:dyDescent="0.2">
      <c r="A20" s="2"/>
      <c r="B20" s="2"/>
      <c r="C20" s="3"/>
      <c r="D20" s="4"/>
      <c r="E20" s="4"/>
      <c r="F20" s="377" t="s">
        <v>676</v>
      </c>
      <c r="G20" s="4"/>
      <c r="H20" s="4"/>
      <c r="I20" s="559" t="s">
        <v>685</v>
      </c>
      <c r="J20" s="559"/>
      <c r="K20" s="4"/>
      <c r="L20" s="517"/>
      <c r="M20" s="415"/>
      <c r="N20" s="415"/>
      <c r="O20" s="560"/>
      <c r="P20" s="560"/>
      <c r="Q20" s="561"/>
      <c r="R20" s="4"/>
    </row>
    <row r="21" spans="1:18" x14ac:dyDescent="0.2">
      <c r="A21" s="2"/>
      <c r="B21" s="2"/>
      <c r="C21" s="3"/>
      <c r="D21" s="4"/>
      <c r="E21" s="4"/>
      <c r="F21" s="518" t="s">
        <v>677</v>
      </c>
      <c r="G21" s="4"/>
      <c r="H21" s="4"/>
      <c r="I21" s="559"/>
      <c r="J21" s="559"/>
      <c r="K21" s="4"/>
      <c r="L21" s="517"/>
      <c r="M21" s="415"/>
      <c r="N21" s="415"/>
      <c r="O21" s="560"/>
      <c r="P21" s="560"/>
      <c r="Q21" s="561"/>
      <c r="R21" s="4"/>
    </row>
    <row r="22" spans="1:18" ht="9.9499999999999993" customHeight="1" x14ac:dyDescent="0.2">
      <c r="A22" s="2"/>
      <c r="B22" s="2"/>
      <c r="C22" s="3"/>
      <c r="D22" s="4"/>
      <c r="E22" s="4"/>
      <c r="F22" s="17"/>
      <c r="G22" s="4"/>
      <c r="H22" s="4"/>
      <c r="I22" s="4"/>
      <c r="J22" s="4"/>
      <c r="K22" s="4"/>
      <c r="L22" s="517"/>
      <c r="M22" s="415"/>
      <c r="N22" s="415"/>
      <c r="O22" s="551">
        <f>ROUND(16.4*$I$23,0)</f>
        <v>82</v>
      </c>
      <c r="P22" s="551"/>
      <c r="Q22" s="562" t="s">
        <v>690</v>
      </c>
      <c r="R22" s="4"/>
    </row>
    <row r="23" spans="1:18" x14ac:dyDescent="0.2">
      <c r="A23" s="2"/>
      <c r="B23" s="2"/>
      <c r="C23" s="3"/>
      <c r="D23" s="4"/>
      <c r="E23" s="4"/>
      <c r="F23" s="17" t="s">
        <v>1117</v>
      </c>
      <c r="G23" s="17"/>
      <c r="H23" s="17"/>
      <c r="I23" s="527">
        <v>5</v>
      </c>
      <c r="J23" s="324" t="s">
        <v>39</v>
      </c>
      <c r="K23" s="4"/>
      <c r="L23" s="517"/>
      <c r="M23" s="415"/>
      <c r="N23" s="415"/>
      <c r="O23" s="551"/>
      <c r="P23" s="551"/>
      <c r="Q23" s="562"/>
      <c r="R23" s="4"/>
    </row>
    <row r="24" spans="1:18" x14ac:dyDescent="0.2">
      <c r="A24" s="2"/>
      <c r="B24" s="2"/>
      <c r="C24" s="3"/>
      <c r="D24" s="4"/>
      <c r="E24" s="4"/>
      <c r="F24" s="4" t="s">
        <v>1118</v>
      </c>
      <c r="G24" s="4"/>
      <c r="H24" s="4"/>
      <c r="I24" s="4"/>
      <c r="J24" s="4"/>
      <c r="K24" s="4"/>
      <c r="L24" s="517"/>
      <c r="M24" s="415"/>
      <c r="N24" s="415"/>
      <c r="O24" s="415"/>
      <c r="P24" s="415"/>
      <c r="Q24" s="520"/>
      <c r="R24" s="4"/>
    </row>
    <row r="25" spans="1:18" ht="15" thickBot="1" x14ac:dyDescent="0.25">
      <c r="A25" s="2"/>
      <c r="B25" s="2"/>
      <c r="C25" s="3"/>
      <c r="D25" s="4"/>
      <c r="E25" s="4"/>
      <c r="F25" s="4"/>
      <c r="G25" s="4"/>
      <c r="H25" s="4"/>
      <c r="I25" s="4"/>
      <c r="J25" s="4"/>
      <c r="K25" s="4"/>
      <c r="L25" s="521"/>
      <c r="M25" s="522"/>
      <c r="N25" s="522"/>
      <c r="O25" s="522"/>
      <c r="P25" s="522"/>
      <c r="Q25" s="523"/>
      <c r="R25" s="4"/>
    </row>
    <row r="26" spans="1:18" x14ac:dyDescent="0.2">
      <c r="A26" s="2"/>
      <c r="B26" s="2"/>
      <c r="C26" s="3"/>
      <c r="D26" s="4"/>
      <c r="E26" s="4"/>
      <c r="F26" s="4"/>
      <c r="G26" s="4"/>
      <c r="H26" s="4"/>
      <c r="I26" s="4"/>
      <c r="J26" s="4"/>
      <c r="K26" s="4"/>
      <c r="L26" s="4"/>
      <c r="M26" s="4"/>
      <c r="N26" s="4"/>
      <c r="O26" s="4"/>
      <c r="P26" s="4"/>
      <c r="Q26" s="4"/>
      <c r="R26" s="4"/>
    </row>
    <row r="27" spans="1:18" x14ac:dyDescent="0.2">
      <c r="A27" s="2"/>
      <c r="B27" s="2"/>
      <c r="C27" s="3"/>
      <c r="D27" s="4"/>
      <c r="E27" s="4"/>
      <c r="F27" s="4"/>
      <c r="G27" s="4"/>
      <c r="H27" s="4"/>
      <c r="I27" s="4"/>
      <c r="J27" s="4"/>
      <c r="K27" s="4"/>
      <c r="L27" s="4"/>
      <c r="M27" s="4"/>
      <c r="N27" s="4"/>
      <c r="O27" s="4"/>
      <c r="P27" s="4"/>
      <c r="Q27" s="4"/>
      <c r="R27" s="4"/>
    </row>
    <row r="28" spans="1:18" ht="20.100000000000001" customHeight="1" x14ac:dyDescent="0.2">
      <c r="A28" s="2"/>
      <c r="B28" s="2"/>
      <c r="C28" s="3"/>
      <c r="D28" s="4"/>
      <c r="E28" s="564" t="s">
        <v>66</v>
      </c>
      <c r="F28" s="554" t="s">
        <v>2</v>
      </c>
      <c r="G28" s="554"/>
      <c r="H28" s="554"/>
      <c r="I28" s="554"/>
      <c r="J28" s="565" t="s">
        <v>65</v>
      </c>
      <c r="K28" s="565"/>
      <c r="L28" s="565"/>
      <c r="M28" s="565"/>
      <c r="N28" s="565"/>
      <c r="O28" s="565"/>
      <c r="P28" s="565"/>
      <c r="Q28" s="565"/>
      <c r="R28" s="4"/>
    </row>
    <row r="29" spans="1:18" ht="20.100000000000001" customHeight="1" x14ac:dyDescent="0.2">
      <c r="A29" s="2"/>
      <c r="B29" s="2"/>
      <c r="C29" s="3"/>
      <c r="D29" s="4"/>
      <c r="E29" s="564"/>
      <c r="F29" s="554" t="s">
        <v>3</v>
      </c>
      <c r="G29" s="554"/>
      <c r="H29" s="554"/>
      <c r="I29" s="554"/>
      <c r="J29" s="565" t="s">
        <v>1083</v>
      </c>
      <c r="K29" s="565"/>
      <c r="L29" s="565"/>
      <c r="M29" s="565"/>
      <c r="N29" s="565"/>
      <c r="O29" s="565"/>
      <c r="P29" s="565"/>
      <c r="Q29" s="565"/>
      <c r="R29" s="4"/>
    </row>
    <row r="30" spans="1:18" ht="69.95" customHeight="1" x14ac:dyDescent="0.2">
      <c r="A30" s="2"/>
      <c r="B30" s="2"/>
      <c r="C30" s="3"/>
      <c r="D30" s="4"/>
      <c r="E30" s="4"/>
      <c r="F30" s="554" t="s">
        <v>4</v>
      </c>
      <c r="G30" s="554"/>
      <c r="H30" s="554"/>
      <c r="I30" s="554"/>
      <c r="J30" s="569" t="s">
        <v>120</v>
      </c>
      <c r="K30" s="570"/>
      <c r="L30" s="570"/>
      <c r="M30" s="570"/>
      <c r="N30" s="570"/>
      <c r="O30" s="570"/>
      <c r="P30" s="570"/>
      <c r="Q30" s="571"/>
      <c r="R30" s="177"/>
    </row>
    <row r="31" spans="1:18" x14ac:dyDescent="0.2">
      <c r="A31" s="2"/>
      <c r="B31" s="2"/>
      <c r="C31" s="3"/>
      <c r="D31" s="4"/>
      <c r="E31" s="4"/>
      <c r="F31" s="4"/>
      <c r="G31" s="4"/>
      <c r="H31" s="4"/>
      <c r="I31" s="4"/>
      <c r="J31" s="4"/>
      <c r="K31" s="4"/>
      <c r="L31" s="4"/>
      <c r="M31" s="4"/>
      <c r="N31" s="4"/>
      <c r="O31" s="4"/>
      <c r="P31" s="4"/>
      <c r="Q31" s="4"/>
      <c r="R31" s="4"/>
    </row>
    <row r="32" spans="1:18" ht="15" x14ac:dyDescent="0.2">
      <c r="A32" s="2"/>
      <c r="B32" s="2"/>
      <c r="C32" s="3"/>
      <c r="D32" s="4"/>
      <c r="E32" s="4"/>
      <c r="F32" s="553" t="s">
        <v>20</v>
      </c>
      <c r="G32" s="553"/>
      <c r="H32" s="553"/>
      <c r="I32" s="553"/>
      <c r="J32" s="553"/>
      <c r="K32" s="553"/>
      <c r="L32" s="553"/>
      <c r="M32" s="553"/>
      <c r="N32" s="553"/>
      <c r="O32" s="553"/>
      <c r="P32" s="553"/>
      <c r="Q32" s="553"/>
      <c r="R32" s="4"/>
    </row>
    <row r="33" spans="1:18" ht="9.9499999999999993" customHeight="1" x14ac:dyDescent="0.2">
      <c r="A33" s="2"/>
      <c r="B33" s="2"/>
      <c r="C33" s="3"/>
      <c r="D33" s="4"/>
      <c r="E33" s="4"/>
      <c r="F33" s="4"/>
      <c r="G33" s="4"/>
      <c r="H33" s="4"/>
      <c r="I33" s="4"/>
      <c r="J33" s="4"/>
      <c r="K33" s="4"/>
      <c r="L33" s="4"/>
      <c r="M33" s="4"/>
      <c r="N33" s="4"/>
      <c r="O33" s="4"/>
      <c r="P33" s="4"/>
      <c r="Q33" s="4"/>
      <c r="R33" s="4"/>
    </row>
    <row r="34" spans="1:18" x14ac:dyDescent="0.2">
      <c r="A34" s="2"/>
      <c r="B34" s="2"/>
      <c r="C34" s="3"/>
      <c r="D34" s="4"/>
      <c r="E34" s="4"/>
      <c r="F34" s="377" t="s">
        <v>676</v>
      </c>
      <c r="G34" s="4"/>
      <c r="H34" s="4"/>
      <c r="I34" s="559"/>
      <c r="J34" s="559"/>
      <c r="K34" s="4"/>
      <c r="L34" s="17"/>
      <c r="M34" s="524" t="s">
        <v>983</v>
      </c>
      <c r="N34" s="524"/>
      <c r="O34" s="524" t="s">
        <v>984</v>
      </c>
      <c r="P34" s="524"/>
      <c r="Q34" s="524" t="s">
        <v>985</v>
      </c>
      <c r="R34" s="4"/>
    </row>
    <row r="35" spans="1:18" x14ac:dyDescent="0.2">
      <c r="A35" s="2"/>
      <c r="B35" s="2"/>
      <c r="C35" s="3"/>
      <c r="D35" s="4"/>
      <c r="E35" s="4"/>
      <c r="F35" s="518" t="s">
        <v>677</v>
      </c>
      <c r="G35" s="4"/>
      <c r="H35" s="4"/>
      <c r="I35" s="559"/>
      <c r="J35" s="559"/>
      <c r="K35" s="4"/>
      <c r="L35" s="17"/>
      <c r="M35" s="501" t="str">
        <f>IF(I34="EDGE Advanced (Avanzado)",Datos_edif!$B$36,IF(EDIFICIOS!I34="EDGE Certified (Certificado)",Datos_edif!$B$35,IF(EDIFICIOS!I34="Zero Carbon",Datos_edif!$B$37,"")))</f>
        <v/>
      </c>
      <c r="N35" s="4"/>
      <c r="O35" s="502" t="str">
        <f>IF(I34="EDGE Advanced (Avanzado)",Datos_edif!$C$36,IF(EDIFICIOS!I34="EDGE Certified (Certificado)",Datos_edif!$C$35,IF(EDIFICIOS!I34="Zero Carbon",Datos_edif!$C$37,"")))</f>
        <v/>
      </c>
      <c r="P35" s="4"/>
      <c r="Q35" s="503" t="str">
        <f>IF(I34="EDGE Advanced (Avanzado)",Datos_edif!$D$36,IF(EDIFICIOS!I34="EDGE Certified (Certificado)",Datos_edif!$D$35,IF(EDIFICIOS!I34="Zero Carbon",Datos_edif!$D$37,"")))</f>
        <v/>
      </c>
      <c r="R35" s="4"/>
    </row>
    <row r="36" spans="1:18" x14ac:dyDescent="0.2">
      <c r="A36" s="2"/>
      <c r="B36" s="2"/>
      <c r="C36" s="3"/>
      <c r="D36" s="4"/>
      <c r="E36" s="4"/>
      <c r="F36" s="4"/>
      <c r="G36" s="4"/>
      <c r="H36" s="4"/>
      <c r="I36" s="4"/>
      <c r="J36" s="4"/>
      <c r="K36" s="4"/>
      <c r="L36" s="4"/>
      <c r="M36" s="4"/>
      <c r="N36" s="4"/>
      <c r="O36" s="4"/>
      <c r="P36" s="4"/>
      <c r="Q36" s="4"/>
      <c r="R36" s="4"/>
    </row>
    <row r="37" spans="1:18" ht="17.100000000000001" customHeight="1" x14ac:dyDescent="0.2">
      <c r="A37" s="2"/>
      <c r="B37" s="2"/>
      <c r="C37" s="3"/>
      <c r="D37" s="4"/>
      <c r="E37" s="4"/>
      <c r="F37" s="563" t="s">
        <v>961</v>
      </c>
      <c r="G37" s="563"/>
      <c r="H37" s="563"/>
      <c r="I37" s="563"/>
      <c r="J37" s="563"/>
      <c r="K37" s="563"/>
      <c r="L37" s="563"/>
      <c r="M37" s="563"/>
      <c r="N37" s="563"/>
      <c r="O37" s="563"/>
      <c r="P37" s="563"/>
      <c r="Q37" s="563"/>
      <c r="R37" s="4"/>
    </row>
    <row r="38" spans="1:18" ht="17.100000000000001" customHeight="1" x14ac:dyDescent="0.2">
      <c r="A38" s="2"/>
      <c r="B38" s="2"/>
      <c r="C38" s="3"/>
      <c r="D38" s="4"/>
      <c r="E38" s="4"/>
      <c r="F38" s="563"/>
      <c r="G38" s="563"/>
      <c r="H38" s="563"/>
      <c r="I38" s="563"/>
      <c r="J38" s="563"/>
      <c r="K38" s="563"/>
      <c r="L38" s="563"/>
      <c r="M38" s="563"/>
      <c r="N38" s="563"/>
      <c r="O38" s="563"/>
      <c r="P38" s="563"/>
      <c r="Q38" s="563"/>
      <c r="R38" s="4"/>
    </row>
    <row r="39" spans="1:18" x14ac:dyDescent="0.2">
      <c r="A39" s="2"/>
      <c r="B39" s="2"/>
      <c r="C39" s="3"/>
      <c r="D39" s="4"/>
      <c r="E39" s="4"/>
      <c r="F39" s="4"/>
      <c r="G39" s="4"/>
      <c r="H39" s="4"/>
      <c r="I39" s="4"/>
      <c r="J39" s="4"/>
      <c r="K39" s="4"/>
      <c r="L39" s="4"/>
      <c r="M39" s="4"/>
      <c r="N39" s="4"/>
      <c r="O39" s="4"/>
      <c r="P39" s="4"/>
      <c r="Q39" s="4"/>
      <c r="R39" s="4"/>
    </row>
    <row r="40" spans="1:18" x14ac:dyDescent="0.2">
      <c r="A40" s="2"/>
      <c r="B40" s="2"/>
      <c r="C40" s="3"/>
      <c r="D40" s="4"/>
      <c r="E40" s="4"/>
      <c r="F40" s="17" t="s">
        <v>977</v>
      </c>
      <c r="G40" s="4"/>
      <c r="H40" s="4"/>
      <c r="I40" s="4"/>
      <c r="J40" s="4"/>
      <c r="K40" s="4"/>
      <c r="L40" s="4"/>
      <c r="M40" s="4"/>
      <c r="N40" s="4"/>
      <c r="O40" s="528"/>
      <c r="P40" s="4"/>
      <c r="Q40" s="324" t="s">
        <v>39</v>
      </c>
      <c r="R40" s="4"/>
    </row>
    <row r="41" spans="1:18" x14ac:dyDescent="0.2">
      <c r="A41" s="2"/>
      <c r="B41" s="2"/>
      <c r="C41" s="3"/>
      <c r="D41" s="4"/>
      <c r="E41" s="4"/>
      <c r="F41" s="17" t="s">
        <v>978</v>
      </c>
      <c r="G41" s="4"/>
      <c r="H41" s="4"/>
      <c r="I41" s="4"/>
      <c r="J41" s="4"/>
      <c r="K41" s="4"/>
      <c r="L41" s="4"/>
      <c r="M41" s="4"/>
      <c r="N41" s="4"/>
      <c r="O41" s="527"/>
      <c r="P41" s="4"/>
      <c r="Q41" s="324" t="s">
        <v>39</v>
      </c>
      <c r="R41" s="4"/>
    </row>
    <row r="42" spans="1:18" ht="15" thickBot="1" x14ac:dyDescent="0.25">
      <c r="A42" s="2"/>
      <c r="B42" s="2"/>
      <c r="C42" s="3"/>
      <c r="D42" s="4"/>
      <c r="E42" s="4"/>
      <c r="F42" s="4"/>
      <c r="G42" s="4"/>
      <c r="H42" s="4"/>
      <c r="I42" s="4"/>
      <c r="J42" s="4"/>
      <c r="K42" s="4"/>
      <c r="L42" s="4"/>
      <c r="M42" s="4"/>
      <c r="N42" s="4"/>
      <c r="O42" s="4"/>
      <c r="P42" s="4"/>
      <c r="Q42" s="4"/>
      <c r="R42" s="4"/>
    </row>
    <row r="43" spans="1:18" x14ac:dyDescent="0.2">
      <c r="A43" s="2"/>
      <c r="B43" s="2"/>
      <c r="C43" s="3"/>
      <c r="D43" s="4"/>
      <c r="E43" s="4"/>
      <c r="F43" s="514"/>
      <c r="G43" s="515"/>
      <c r="H43" s="515"/>
      <c r="I43" s="515"/>
      <c r="J43" s="516"/>
      <c r="K43" s="4"/>
      <c r="L43" s="4"/>
      <c r="M43" s="4"/>
      <c r="N43" s="4"/>
      <c r="O43" s="4"/>
      <c r="P43" s="4"/>
      <c r="Q43" s="4"/>
      <c r="R43" s="4"/>
    </row>
    <row r="44" spans="1:18" x14ac:dyDescent="0.2">
      <c r="A44" s="2"/>
      <c r="B44" s="2"/>
      <c r="C44" s="3"/>
      <c r="D44" s="4"/>
      <c r="E44" s="4"/>
      <c r="F44" s="517"/>
      <c r="G44" s="415"/>
      <c r="H44" s="415"/>
      <c r="I44" s="416" t="s">
        <v>691</v>
      </c>
      <c r="J44" s="525"/>
      <c r="K44" s="4"/>
      <c r="L44" s="4"/>
      <c r="M44" s="4"/>
      <c r="N44" s="4"/>
      <c r="O44" s="4"/>
      <c r="P44" s="4"/>
      <c r="Q44" s="4"/>
      <c r="R44" s="4"/>
    </row>
    <row r="45" spans="1:18" x14ac:dyDescent="0.2">
      <c r="A45" s="2"/>
      <c r="B45" s="2"/>
      <c r="C45" s="3"/>
      <c r="D45" s="4"/>
      <c r="E45" s="4"/>
      <c r="F45" s="517"/>
      <c r="G45" s="415"/>
      <c r="H45" s="415"/>
      <c r="I45" s="416" t="s">
        <v>692</v>
      </c>
      <c r="J45" s="525"/>
      <c r="K45" s="4"/>
      <c r="L45" s="4"/>
      <c r="M45" s="4"/>
      <c r="N45" s="4"/>
      <c r="O45" s="4"/>
      <c r="P45" s="4"/>
      <c r="Q45" s="4"/>
      <c r="R45" s="4"/>
    </row>
    <row r="46" spans="1:18" x14ac:dyDescent="0.2">
      <c r="A46" s="2"/>
      <c r="B46" s="2"/>
      <c r="C46" s="3"/>
      <c r="D46" s="4"/>
      <c r="E46" s="4"/>
      <c r="F46" s="517"/>
      <c r="G46" s="415"/>
      <c r="H46" s="415"/>
      <c r="I46" s="417"/>
      <c r="J46" s="525"/>
      <c r="K46" s="4"/>
      <c r="L46" s="4"/>
      <c r="M46" s="4"/>
      <c r="N46" s="4"/>
      <c r="O46" s="4"/>
      <c r="P46" s="4"/>
      <c r="Q46" s="4"/>
      <c r="R46" s="4"/>
    </row>
    <row r="47" spans="1:18" x14ac:dyDescent="0.2">
      <c r="A47" s="2"/>
      <c r="B47" s="2"/>
      <c r="C47" s="3"/>
      <c r="D47" s="4"/>
      <c r="E47" s="4"/>
      <c r="F47" s="517"/>
      <c r="G47" s="415"/>
      <c r="H47" s="415"/>
      <c r="I47" s="551">
        <f>ROUND(16.4*$O$41,0)</f>
        <v>0</v>
      </c>
      <c r="J47" s="567" t="s">
        <v>44</v>
      </c>
      <c r="K47" s="4"/>
      <c r="L47" s="4"/>
      <c r="M47" s="4"/>
      <c r="N47" s="4"/>
      <c r="O47" s="4"/>
      <c r="P47" s="4"/>
      <c r="Q47" s="4"/>
      <c r="R47" s="4"/>
    </row>
    <row r="48" spans="1:18" x14ac:dyDescent="0.2">
      <c r="A48" s="2"/>
      <c r="B48" s="2"/>
      <c r="C48" s="3"/>
      <c r="D48" s="4"/>
      <c r="E48" s="4"/>
      <c r="F48" s="517"/>
      <c r="G48" s="415"/>
      <c r="H48" s="415"/>
      <c r="I48" s="551"/>
      <c r="J48" s="567"/>
      <c r="K48" s="4"/>
      <c r="L48" s="4"/>
      <c r="M48" s="4"/>
      <c r="N48" s="4"/>
      <c r="O48" s="4"/>
      <c r="P48" s="4"/>
      <c r="Q48" s="4"/>
      <c r="R48" s="4"/>
    </row>
    <row r="49" spans="1:18" ht="15" thickBot="1" x14ac:dyDescent="0.25">
      <c r="A49" s="2"/>
      <c r="B49" s="2"/>
      <c r="C49" s="3"/>
      <c r="D49" s="4"/>
      <c r="E49" s="4"/>
      <c r="F49" s="521"/>
      <c r="G49" s="522"/>
      <c r="H49" s="522"/>
      <c r="I49" s="522"/>
      <c r="J49" s="523"/>
      <c r="K49" s="4"/>
      <c r="L49" s="4"/>
      <c r="M49" s="4"/>
      <c r="N49" s="4"/>
      <c r="O49" s="4"/>
      <c r="P49" s="4"/>
      <c r="Q49" s="4"/>
      <c r="R49" s="4"/>
    </row>
    <row r="50" spans="1:18" x14ac:dyDescent="0.2">
      <c r="A50" s="2"/>
      <c r="B50" s="2"/>
      <c r="C50" s="3"/>
      <c r="D50" s="4"/>
      <c r="E50" s="4"/>
      <c r="F50" s="4"/>
      <c r="G50" s="4"/>
      <c r="H50" s="4"/>
      <c r="I50" s="4"/>
      <c r="J50" s="4"/>
      <c r="K50" s="4"/>
      <c r="L50" s="4"/>
      <c r="M50" s="4"/>
      <c r="N50" s="4"/>
      <c r="O50" s="4"/>
      <c r="P50" s="4"/>
      <c r="Q50" s="4"/>
      <c r="R50" s="4"/>
    </row>
    <row r="51" spans="1:18" ht="18" x14ac:dyDescent="0.2">
      <c r="A51" s="2"/>
      <c r="B51" s="2"/>
      <c r="C51" s="3"/>
      <c r="D51" s="4"/>
      <c r="E51" s="526"/>
      <c r="F51" s="4"/>
      <c r="G51" s="4"/>
      <c r="H51" s="4"/>
      <c r="I51" s="4"/>
      <c r="J51" s="4"/>
      <c r="K51" s="4"/>
      <c r="L51" s="4"/>
      <c r="M51" s="4"/>
      <c r="N51" s="4"/>
      <c r="O51" s="4"/>
      <c r="P51" s="4"/>
      <c r="Q51" s="4"/>
      <c r="R51" s="4"/>
    </row>
    <row r="52" spans="1:18" ht="30" customHeight="1" x14ac:dyDescent="0.2">
      <c r="A52" s="2"/>
      <c r="B52" s="2"/>
      <c r="C52" s="3"/>
      <c r="D52" s="4"/>
      <c r="E52" s="572" t="s">
        <v>113</v>
      </c>
      <c r="F52" s="554" t="s">
        <v>2</v>
      </c>
      <c r="G52" s="554"/>
      <c r="H52" s="554"/>
      <c r="I52" s="554"/>
      <c r="J52" s="565" t="s">
        <v>114</v>
      </c>
      <c r="K52" s="565"/>
      <c r="L52" s="565"/>
      <c r="M52" s="565"/>
      <c r="N52" s="565"/>
      <c r="O52" s="565"/>
      <c r="P52" s="565"/>
      <c r="Q52" s="565"/>
      <c r="R52" s="4"/>
    </row>
    <row r="53" spans="1:18" ht="20.100000000000001" customHeight="1" x14ac:dyDescent="0.2">
      <c r="A53" s="2"/>
      <c r="B53" s="2"/>
      <c r="C53" s="3"/>
      <c r="D53" s="4"/>
      <c r="E53" s="572"/>
      <c r="F53" s="554" t="s">
        <v>3</v>
      </c>
      <c r="G53" s="554"/>
      <c r="H53" s="554"/>
      <c r="I53" s="554"/>
      <c r="J53" s="565" t="s">
        <v>1083</v>
      </c>
      <c r="K53" s="565"/>
      <c r="L53" s="565"/>
      <c r="M53" s="565"/>
      <c r="N53" s="565"/>
      <c r="O53" s="565"/>
      <c r="P53" s="565"/>
      <c r="Q53" s="565"/>
      <c r="R53" s="4"/>
    </row>
    <row r="54" spans="1:18" ht="90" customHeight="1" x14ac:dyDescent="0.2">
      <c r="A54" s="2"/>
      <c r="B54" s="2"/>
      <c r="C54" s="3"/>
      <c r="D54" s="4"/>
      <c r="E54" s="4"/>
      <c r="F54" s="554" t="s">
        <v>4</v>
      </c>
      <c r="G54" s="554"/>
      <c r="H54" s="554"/>
      <c r="I54" s="554"/>
      <c r="J54" s="558" t="s">
        <v>121</v>
      </c>
      <c r="K54" s="558"/>
      <c r="L54" s="558"/>
      <c r="M54" s="558"/>
      <c r="N54" s="558"/>
      <c r="O54" s="558"/>
      <c r="P54" s="558"/>
      <c r="Q54" s="558"/>
      <c r="R54" s="4"/>
    </row>
    <row r="55" spans="1:18" x14ac:dyDescent="0.2">
      <c r="A55" s="2"/>
      <c r="B55" s="2"/>
      <c r="C55" s="3"/>
      <c r="D55" s="4"/>
      <c r="E55" s="4"/>
      <c r="F55" s="4"/>
      <c r="G55" s="4"/>
      <c r="H55" s="4"/>
      <c r="I55" s="4"/>
      <c r="J55" s="4"/>
      <c r="K55" s="4"/>
      <c r="L55" s="4"/>
      <c r="M55" s="4"/>
      <c r="N55" s="4"/>
      <c r="O55" s="4"/>
      <c r="P55" s="4"/>
      <c r="Q55" s="4"/>
      <c r="R55" s="4"/>
    </row>
    <row r="56" spans="1:18" x14ac:dyDescent="0.2">
      <c r="A56" s="2"/>
      <c r="B56" s="2"/>
      <c r="C56" s="3"/>
      <c r="D56" s="4"/>
      <c r="E56" s="4"/>
      <c r="F56" s="512" t="s">
        <v>1116</v>
      </c>
      <c r="G56" s="4"/>
      <c r="H56" s="4"/>
      <c r="I56" s="4"/>
      <c r="J56" s="4"/>
      <c r="K56" s="4"/>
      <c r="L56" s="4"/>
      <c r="M56" s="4"/>
      <c r="N56" s="4"/>
      <c r="O56" s="4"/>
      <c r="P56" s="4"/>
      <c r="Q56" s="4"/>
      <c r="R56" s="4"/>
    </row>
    <row r="57" spans="1:18" ht="9.9499999999999993" customHeight="1" thickBot="1" x14ac:dyDescent="0.25">
      <c r="A57" s="2"/>
      <c r="B57" s="2"/>
      <c r="C57" s="3"/>
      <c r="D57" s="4"/>
      <c r="E57" s="4"/>
      <c r="F57" s="4"/>
      <c r="G57" s="4"/>
      <c r="H57" s="4"/>
      <c r="I57" s="4"/>
      <c r="J57" s="4"/>
      <c r="K57" s="4"/>
      <c r="L57" s="4"/>
      <c r="M57" s="4"/>
      <c r="N57" s="4"/>
      <c r="O57" s="4"/>
      <c r="P57" s="4"/>
      <c r="Q57" s="4"/>
      <c r="R57" s="4"/>
    </row>
    <row r="58" spans="1:18" ht="15" x14ac:dyDescent="0.2">
      <c r="A58" s="2"/>
      <c r="B58" s="2"/>
      <c r="C58" s="3"/>
      <c r="D58" s="4"/>
      <c r="E58" s="4"/>
      <c r="F58" s="553" t="s">
        <v>20</v>
      </c>
      <c r="G58" s="553"/>
      <c r="H58" s="553"/>
      <c r="I58" s="553"/>
      <c r="J58" s="553"/>
      <c r="K58" s="4"/>
      <c r="L58" s="514"/>
      <c r="M58" s="515"/>
      <c r="N58" s="515"/>
      <c r="O58" s="515"/>
      <c r="P58" s="515"/>
      <c r="Q58" s="516"/>
      <c r="R58" s="4"/>
    </row>
    <row r="59" spans="1:18" ht="9.9499999999999993" customHeight="1" x14ac:dyDescent="0.2">
      <c r="A59" s="2"/>
      <c r="B59" s="2"/>
      <c r="C59" s="3"/>
      <c r="D59" s="4"/>
      <c r="E59" s="4"/>
      <c r="F59" s="4"/>
      <c r="G59" s="4"/>
      <c r="H59" s="4"/>
      <c r="I59" s="4"/>
      <c r="J59" s="4"/>
      <c r="K59" s="4"/>
      <c r="L59" s="517"/>
      <c r="M59" s="415"/>
      <c r="N59" s="415"/>
      <c r="O59" s="560" t="s">
        <v>689</v>
      </c>
      <c r="P59" s="560"/>
      <c r="Q59" s="561"/>
      <c r="R59" s="4"/>
    </row>
    <row r="60" spans="1:18" x14ac:dyDescent="0.2">
      <c r="A60" s="2"/>
      <c r="B60" s="2"/>
      <c r="C60" s="3"/>
      <c r="D60" s="4"/>
      <c r="E60" s="4"/>
      <c r="F60" s="377" t="s">
        <v>676</v>
      </c>
      <c r="G60" s="4"/>
      <c r="H60" s="4"/>
      <c r="I60" s="559" t="s">
        <v>697</v>
      </c>
      <c r="J60" s="559"/>
      <c r="K60" s="4"/>
      <c r="L60" s="517"/>
      <c r="M60" s="415"/>
      <c r="N60" s="415"/>
      <c r="O60" s="560"/>
      <c r="P60" s="560"/>
      <c r="Q60" s="561"/>
      <c r="R60" s="4"/>
    </row>
    <row r="61" spans="1:18" x14ac:dyDescent="0.2">
      <c r="A61" s="2"/>
      <c r="B61" s="2"/>
      <c r="C61" s="3"/>
      <c r="D61" s="4"/>
      <c r="E61" s="4"/>
      <c r="F61" s="518" t="s">
        <v>677</v>
      </c>
      <c r="G61" s="4"/>
      <c r="H61" s="4"/>
      <c r="I61" s="559"/>
      <c r="J61" s="559"/>
      <c r="K61" s="4"/>
      <c r="L61" s="517"/>
      <c r="M61" s="415"/>
      <c r="N61" s="415"/>
      <c r="O61" s="560"/>
      <c r="P61" s="560"/>
      <c r="Q61" s="561"/>
      <c r="R61" s="4"/>
    </row>
    <row r="62" spans="1:18" ht="9.9499999999999993" customHeight="1" x14ac:dyDescent="0.2">
      <c r="A62" s="2"/>
      <c r="B62" s="2"/>
      <c r="C62" s="3"/>
      <c r="D62" s="4"/>
      <c r="E62" s="4"/>
      <c r="F62" s="17"/>
      <c r="G62" s="4"/>
      <c r="H62" s="4"/>
      <c r="I62" s="4"/>
      <c r="J62" s="4"/>
      <c r="K62" s="4"/>
      <c r="L62" s="517"/>
      <c r="M62" s="415"/>
      <c r="N62" s="415"/>
      <c r="O62" s="551">
        <f>ROUND(16.4*$I$64,0)</f>
        <v>57400</v>
      </c>
      <c r="P62" s="551"/>
      <c r="Q62" s="562" t="s">
        <v>690</v>
      </c>
      <c r="R62" s="4"/>
    </row>
    <row r="63" spans="1:18" x14ac:dyDescent="0.2">
      <c r="A63" s="2"/>
      <c r="B63" s="2"/>
      <c r="C63" s="3"/>
      <c r="D63" s="4"/>
      <c r="E63" s="4"/>
      <c r="F63" s="17" t="s">
        <v>982</v>
      </c>
      <c r="G63" s="4"/>
      <c r="H63" s="4"/>
      <c r="I63" s="4"/>
      <c r="J63" s="4"/>
      <c r="K63" s="4"/>
      <c r="L63" s="517"/>
      <c r="M63" s="415"/>
      <c r="N63" s="415"/>
      <c r="O63" s="551"/>
      <c r="P63" s="551"/>
      <c r="Q63" s="562"/>
      <c r="R63" s="4"/>
    </row>
    <row r="64" spans="1:18" x14ac:dyDescent="0.2">
      <c r="A64" s="2"/>
      <c r="B64" s="2"/>
      <c r="C64" s="3"/>
      <c r="D64" s="4"/>
      <c r="E64" s="4"/>
      <c r="F64" s="4"/>
      <c r="G64" s="4"/>
      <c r="H64" s="4"/>
      <c r="I64" s="527">
        <v>3500</v>
      </c>
      <c r="J64" s="324" t="s">
        <v>39</v>
      </c>
      <c r="K64" s="4"/>
      <c r="L64" s="517"/>
      <c r="M64" s="415"/>
      <c r="N64" s="415"/>
      <c r="O64" s="415"/>
      <c r="P64" s="415"/>
      <c r="Q64" s="520"/>
      <c r="R64" s="4"/>
    </row>
    <row r="65" spans="1:18" ht="15" thickBot="1" x14ac:dyDescent="0.25">
      <c r="A65" s="2"/>
      <c r="B65" s="2"/>
      <c r="C65" s="3"/>
      <c r="D65" s="4"/>
      <c r="E65" s="4"/>
      <c r="F65" s="4"/>
      <c r="G65" s="4"/>
      <c r="H65" s="4"/>
      <c r="I65" s="4"/>
      <c r="J65" s="4"/>
      <c r="K65" s="4"/>
      <c r="L65" s="521"/>
      <c r="M65" s="522"/>
      <c r="N65" s="522"/>
      <c r="O65" s="522"/>
      <c r="P65" s="522"/>
      <c r="Q65" s="523"/>
      <c r="R65" s="4"/>
    </row>
    <row r="66" spans="1:18" x14ac:dyDescent="0.2">
      <c r="A66" s="2"/>
      <c r="B66" s="2"/>
      <c r="C66" s="3"/>
      <c r="D66" s="4"/>
      <c r="E66" s="4"/>
      <c r="F66" s="4"/>
      <c r="G66" s="4"/>
      <c r="H66" s="4"/>
      <c r="I66" s="4"/>
      <c r="J66" s="4"/>
      <c r="K66" s="4"/>
      <c r="L66" s="4"/>
      <c r="M66" s="4"/>
      <c r="N66" s="4"/>
      <c r="O66" s="4"/>
      <c r="P66" s="4"/>
      <c r="Q66" s="4"/>
      <c r="R66" s="4"/>
    </row>
    <row r="67" spans="1:18" x14ac:dyDescent="0.2">
      <c r="A67" s="2"/>
      <c r="B67" s="2"/>
      <c r="C67" s="3"/>
      <c r="D67" s="4"/>
      <c r="E67" s="4"/>
      <c r="F67" s="4"/>
      <c r="G67" s="4"/>
      <c r="H67" s="4"/>
      <c r="I67" s="4"/>
      <c r="J67" s="4"/>
      <c r="K67" s="4"/>
      <c r="L67" s="4"/>
      <c r="M67" s="4"/>
      <c r="N67" s="4"/>
      <c r="O67" s="4"/>
      <c r="P67" s="4"/>
      <c r="Q67" s="4"/>
      <c r="R67" s="4"/>
    </row>
    <row r="68" spans="1:18" ht="20.100000000000001" customHeight="1" x14ac:dyDescent="0.2">
      <c r="A68" s="2"/>
      <c r="B68" s="2"/>
      <c r="C68" s="3"/>
      <c r="D68" s="4"/>
      <c r="E68" s="564" t="s">
        <v>115</v>
      </c>
      <c r="F68" s="554" t="s">
        <v>2</v>
      </c>
      <c r="G68" s="554"/>
      <c r="H68" s="554"/>
      <c r="I68" s="554"/>
      <c r="J68" s="565" t="s">
        <v>675</v>
      </c>
      <c r="K68" s="565"/>
      <c r="L68" s="565"/>
      <c r="M68" s="565"/>
      <c r="N68" s="565"/>
      <c r="O68" s="565"/>
      <c r="P68" s="565"/>
      <c r="Q68" s="565"/>
      <c r="R68" s="4"/>
    </row>
    <row r="69" spans="1:18" ht="30" customHeight="1" x14ac:dyDescent="0.2">
      <c r="A69" s="2"/>
      <c r="B69" s="2"/>
      <c r="C69" s="3"/>
      <c r="D69" s="4"/>
      <c r="E69" s="564"/>
      <c r="F69" s="554" t="s">
        <v>3</v>
      </c>
      <c r="G69" s="554"/>
      <c r="H69" s="554"/>
      <c r="I69" s="554"/>
      <c r="J69" s="558" t="s">
        <v>1084</v>
      </c>
      <c r="K69" s="566"/>
      <c r="L69" s="566"/>
      <c r="M69" s="566"/>
      <c r="N69" s="566"/>
      <c r="O69" s="566"/>
      <c r="P69" s="566"/>
      <c r="Q69" s="566"/>
      <c r="R69" s="4"/>
    </row>
    <row r="70" spans="1:18" ht="69.95" customHeight="1" x14ac:dyDescent="0.2">
      <c r="A70" s="2"/>
      <c r="B70" s="2"/>
      <c r="C70" s="3"/>
      <c r="D70" s="4"/>
      <c r="E70" s="4"/>
      <c r="F70" s="554" t="s">
        <v>4</v>
      </c>
      <c r="G70" s="554"/>
      <c r="H70" s="554"/>
      <c r="I70" s="554"/>
      <c r="J70" s="555" t="s">
        <v>122</v>
      </c>
      <c r="K70" s="556"/>
      <c r="L70" s="556"/>
      <c r="M70" s="556"/>
      <c r="N70" s="556"/>
      <c r="O70" s="556"/>
      <c r="P70" s="556"/>
      <c r="Q70" s="557"/>
      <c r="R70" s="4"/>
    </row>
    <row r="71" spans="1:18" x14ac:dyDescent="0.2">
      <c r="A71" s="2"/>
      <c r="B71" s="2"/>
      <c r="C71" s="3"/>
      <c r="D71" s="4"/>
      <c r="E71" s="4"/>
      <c r="F71" s="4"/>
      <c r="G71" s="4"/>
      <c r="H71" s="4"/>
      <c r="I71" s="4"/>
      <c r="J71" s="4"/>
      <c r="K71" s="4"/>
      <c r="L71" s="4"/>
      <c r="M71" s="4"/>
      <c r="N71" s="4"/>
      <c r="O71" s="4"/>
      <c r="P71" s="4"/>
      <c r="Q71" s="4"/>
      <c r="R71" s="4"/>
    </row>
    <row r="72" spans="1:18" x14ac:dyDescent="0.2">
      <c r="A72" s="2"/>
      <c r="B72" s="2"/>
      <c r="C72" s="3"/>
      <c r="D72" s="4"/>
      <c r="E72" s="4"/>
      <c r="F72" s="512" t="s">
        <v>1116</v>
      </c>
      <c r="G72" s="4"/>
      <c r="H72" s="4"/>
      <c r="I72" s="4"/>
      <c r="J72" s="4"/>
      <c r="K72" s="4"/>
      <c r="L72" s="4"/>
      <c r="M72" s="4"/>
      <c r="N72" s="4"/>
      <c r="O72" s="4"/>
      <c r="P72" s="4"/>
      <c r="Q72" s="4"/>
      <c r="R72" s="4"/>
    </row>
    <row r="73" spans="1:18" ht="9.9499999999999993" customHeight="1" x14ac:dyDescent="0.2">
      <c r="A73" s="2"/>
      <c r="B73" s="2"/>
      <c r="C73" s="3"/>
      <c r="D73" s="4"/>
      <c r="E73" s="4"/>
      <c r="F73" s="4"/>
      <c r="G73" s="4"/>
      <c r="H73" s="4"/>
      <c r="I73" s="4"/>
      <c r="J73" s="4"/>
      <c r="K73" s="4"/>
      <c r="L73" s="4"/>
      <c r="M73" s="4"/>
      <c r="N73" s="4"/>
      <c r="O73" s="4"/>
      <c r="P73" s="4"/>
      <c r="Q73" s="4"/>
      <c r="R73" s="4"/>
    </row>
    <row r="74" spans="1:18" ht="15" x14ac:dyDescent="0.2">
      <c r="A74" s="2"/>
      <c r="B74" s="2"/>
      <c r="C74" s="3"/>
      <c r="D74" s="4"/>
      <c r="E74" s="4"/>
      <c r="F74" s="553" t="s">
        <v>20</v>
      </c>
      <c r="G74" s="553"/>
      <c r="H74" s="553"/>
      <c r="I74" s="553"/>
      <c r="J74" s="553"/>
      <c r="K74" s="553"/>
      <c r="L74" s="553"/>
      <c r="M74" s="553"/>
      <c r="N74" s="553"/>
      <c r="O74" s="553"/>
      <c r="P74" s="553"/>
      <c r="Q74" s="553"/>
      <c r="R74" s="4"/>
    </row>
    <row r="75" spans="1:18" ht="9.9499999999999993" customHeight="1" x14ac:dyDescent="0.2">
      <c r="A75" s="2"/>
      <c r="B75" s="2"/>
      <c r="C75" s="3"/>
      <c r="D75" s="4"/>
      <c r="E75" s="4"/>
      <c r="F75" s="4"/>
      <c r="G75" s="4"/>
      <c r="H75" s="4"/>
      <c r="I75" s="4"/>
      <c r="J75" s="4"/>
      <c r="K75" s="4"/>
      <c r="L75" s="4"/>
      <c r="M75" s="4"/>
      <c r="N75" s="4"/>
      <c r="O75" s="4"/>
      <c r="P75" s="4"/>
      <c r="Q75" s="4"/>
      <c r="R75" s="4"/>
    </row>
    <row r="76" spans="1:18" x14ac:dyDescent="0.2">
      <c r="A76" s="2"/>
      <c r="B76" s="2"/>
      <c r="C76" s="3"/>
      <c r="D76" s="4"/>
      <c r="E76" s="4"/>
      <c r="F76" s="17" t="s">
        <v>979</v>
      </c>
      <c r="G76" s="4"/>
      <c r="H76" s="4"/>
      <c r="I76" s="4"/>
      <c r="J76" s="4"/>
      <c r="K76" s="4"/>
      <c r="L76" s="4"/>
      <c r="M76" s="4"/>
      <c r="N76" s="576" t="s">
        <v>701</v>
      </c>
      <c r="O76" s="576"/>
      <c r="P76" s="576"/>
      <c r="Q76" s="576"/>
      <c r="R76" s="4"/>
    </row>
    <row r="77" spans="1:18" x14ac:dyDescent="0.2">
      <c r="A77" s="2"/>
      <c r="B77" s="2"/>
      <c r="C77" s="3"/>
      <c r="D77" s="4"/>
      <c r="E77" s="4"/>
      <c r="F77" s="17" t="s">
        <v>980</v>
      </c>
      <c r="G77" s="4"/>
      <c r="H77" s="4"/>
      <c r="I77" s="4"/>
      <c r="J77" s="4"/>
      <c r="K77" s="4"/>
      <c r="L77" s="4"/>
      <c r="M77" s="4"/>
      <c r="N77" s="580" t="s">
        <v>643</v>
      </c>
      <c r="O77" s="581"/>
      <c r="P77" s="582"/>
      <c r="Q77" s="577" t="str">
        <f>Q79</f>
        <v>kWh ahorrados/año</v>
      </c>
      <c r="R77" s="4"/>
    </row>
    <row r="78" spans="1:18" x14ac:dyDescent="0.2">
      <c r="A78" s="2"/>
      <c r="B78" s="2"/>
      <c r="C78" s="3"/>
      <c r="D78" s="4"/>
      <c r="E78" s="4"/>
      <c r="F78" s="17"/>
      <c r="G78" s="4"/>
      <c r="H78" s="4"/>
      <c r="I78" s="4"/>
      <c r="J78" s="4"/>
      <c r="K78" s="4"/>
      <c r="L78" s="4"/>
      <c r="M78" s="4"/>
      <c r="N78" s="583"/>
      <c r="O78" s="584"/>
      <c r="P78" s="585"/>
      <c r="Q78" s="578"/>
      <c r="R78" s="4"/>
    </row>
    <row r="79" spans="1:18" x14ac:dyDescent="0.2">
      <c r="A79" s="2"/>
      <c r="B79" s="2"/>
      <c r="C79" s="3"/>
      <c r="D79" s="4"/>
      <c r="E79" s="4"/>
      <c r="F79" s="17" t="s">
        <v>981</v>
      </c>
      <c r="G79" s="17"/>
      <c r="H79" s="17"/>
      <c r="I79" s="4"/>
      <c r="J79" s="4"/>
      <c r="K79" s="4"/>
      <c r="L79" s="4"/>
      <c r="M79" s="4"/>
      <c r="N79" s="586">
        <v>200</v>
      </c>
      <c r="O79" s="586"/>
      <c r="P79" s="586"/>
      <c r="Q79" s="579" t="str">
        <f>+VLOOKUP(N77,Datos_edif!G5:H6,2,FALSE)</f>
        <v>kWh ahorrados/año</v>
      </c>
      <c r="R79" s="4"/>
    </row>
    <row r="80" spans="1:18" x14ac:dyDescent="0.2">
      <c r="A80" s="2"/>
      <c r="B80" s="2"/>
      <c r="C80" s="3"/>
      <c r="D80" s="4"/>
      <c r="E80" s="4"/>
      <c r="F80" s="17"/>
      <c r="G80" s="17"/>
      <c r="H80" s="17"/>
      <c r="I80" s="4"/>
      <c r="J80" s="4"/>
      <c r="K80" s="4"/>
      <c r="L80" s="4"/>
      <c r="M80" s="4"/>
      <c r="N80" s="587"/>
      <c r="O80" s="587"/>
      <c r="P80" s="587"/>
      <c r="Q80" s="573"/>
      <c r="R80" s="4"/>
    </row>
    <row r="81" spans="1:18" x14ac:dyDescent="0.2">
      <c r="A81" s="2"/>
      <c r="B81" s="2"/>
      <c r="C81" s="3"/>
      <c r="D81" s="4"/>
      <c r="E81" s="4"/>
      <c r="F81" s="4"/>
      <c r="G81" s="4"/>
      <c r="H81" s="4"/>
      <c r="I81" s="4"/>
      <c r="J81" s="4"/>
      <c r="K81" s="4"/>
      <c r="L81" s="4"/>
      <c r="M81" s="4"/>
      <c r="N81" s="4"/>
      <c r="O81" s="4"/>
      <c r="P81" s="4"/>
      <c r="Q81" s="4"/>
      <c r="R81" s="4"/>
    </row>
    <row r="82" spans="1:18" ht="15" x14ac:dyDescent="0.2">
      <c r="A82" s="2"/>
      <c r="B82" s="2"/>
      <c r="C82" s="3"/>
      <c r="D82" s="4"/>
      <c r="E82" s="4"/>
      <c r="F82" s="553" t="s">
        <v>36</v>
      </c>
      <c r="G82" s="553"/>
      <c r="H82" s="553"/>
      <c r="I82" s="553"/>
      <c r="J82" s="553"/>
      <c r="K82" s="553"/>
      <c r="L82" s="553"/>
      <c r="M82" s="553"/>
      <c r="N82" s="553"/>
      <c r="O82" s="553"/>
      <c r="P82" s="553"/>
      <c r="Q82" s="553"/>
      <c r="R82" s="4"/>
    </row>
    <row r="83" spans="1:18" ht="9.9499999999999993" customHeight="1" thickBot="1" x14ac:dyDescent="0.25">
      <c r="A83" s="2"/>
      <c r="B83" s="2"/>
      <c r="C83" s="3"/>
      <c r="D83" s="4"/>
      <c r="E83" s="4"/>
      <c r="F83" s="4"/>
      <c r="G83" s="4"/>
      <c r="H83" s="4"/>
      <c r="I83" s="4"/>
      <c r="J83" s="4"/>
      <c r="K83" s="4"/>
      <c r="L83" s="4"/>
      <c r="M83" s="4"/>
      <c r="N83" s="4"/>
      <c r="O83" s="4"/>
      <c r="P83" s="4"/>
      <c r="Q83" s="4"/>
      <c r="R83" s="4"/>
    </row>
    <row r="84" spans="1:18" ht="14.25" customHeight="1" x14ac:dyDescent="0.2">
      <c r="A84" s="2"/>
      <c r="B84" s="2"/>
      <c r="C84" s="3"/>
      <c r="D84" s="4"/>
      <c r="E84" s="4"/>
      <c r="F84" s="514"/>
      <c r="G84" s="515"/>
      <c r="H84" s="515"/>
      <c r="I84" s="515"/>
      <c r="J84" s="516"/>
      <c r="K84" s="4"/>
      <c r="L84" s="4"/>
      <c r="M84" s="4"/>
      <c r="N84" s="4"/>
      <c r="O84" s="4"/>
      <c r="P84" s="4"/>
      <c r="Q84" s="4"/>
      <c r="R84" s="4"/>
    </row>
    <row r="85" spans="1:18" x14ac:dyDescent="0.2">
      <c r="A85" s="2"/>
      <c r="B85" s="2"/>
      <c r="C85" s="3"/>
      <c r="D85" s="4"/>
      <c r="E85" s="4"/>
      <c r="F85" s="517"/>
      <c r="G85" s="415"/>
      <c r="H85" s="415"/>
      <c r="I85" s="560" t="s">
        <v>689</v>
      </c>
      <c r="J85" s="561"/>
      <c r="K85" s="4"/>
      <c r="L85" s="574" t="s">
        <v>672</v>
      </c>
      <c r="M85" s="574"/>
      <c r="N85" s="17"/>
      <c r="O85" s="575">
        <f>Datos_edif!C18</f>
        <v>200</v>
      </c>
      <c r="P85" s="575"/>
      <c r="Q85" s="573" t="str">
        <f>Datos_edif!D18</f>
        <v>kWh ahorrados/año</v>
      </c>
      <c r="R85" s="4"/>
    </row>
    <row r="86" spans="1:18" x14ac:dyDescent="0.2">
      <c r="A86" s="2"/>
      <c r="B86" s="2"/>
      <c r="C86" s="3"/>
      <c r="D86" s="4"/>
      <c r="E86" s="4"/>
      <c r="F86" s="517"/>
      <c r="G86" s="415"/>
      <c r="H86" s="415"/>
      <c r="I86" s="560"/>
      <c r="J86" s="561"/>
      <c r="K86" s="4"/>
      <c r="L86" s="574"/>
      <c r="M86" s="574"/>
      <c r="N86" s="4"/>
      <c r="O86" s="575"/>
      <c r="P86" s="575"/>
      <c r="Q86" s="573"/>
      <c r="R86" s="4"/>
    </row>
    <row r="87" spans="1:18" ht="18" x14ac:dyDescent="0.2">
      <c r="A87" s="2"/>
      <c r="B87" s="2"/>
      <c r="C87" s="3"/>
      <c r="D87" s="4"/>
      <c r="E87" s="526"/>
      <c r="F87" s="517"/>
      <c r="G87" s="415"/>
      <c r="H87" s="415"/>
      <c r="I87" s="417"/>
      <c r="J87" s="525"/>
      <c r="K87" s="4"/>
      <c r="L87" s="4"/>
      <c r="M87" s="4"/>
      <c r="N87" s="4"/>
      <c r="O87" s="4"/>
      <c r="P87" s="4"/>
      <c r="Q87" s="4"/>
      <c r="R87" s="4"/>
    </row>
    <row r="88" spans="1:18" x14ac:dyDescent="0.2">
      <c r="A88" s="2"/>
      <c r="B88" s="2"/>
      <c r="C88" s="3"/>
      <c r="D88" s="4"/>
      <c r="E88" s="4"/>
      <c r="F88" s="517"/>
      <c r="G88" s="415"/>
      <c r="H88" s="415"/>
      <c r="I88" s="551">
        <f>ROUND(16.4*$O$88,0)</f>
        <v>969</v>
      </c>
      <c r="J88" s="567" t="s">
        <v>44</v>
      </c>
      <c r="K88" s="4"/>
      <c r="L88" s="574" t="str">
        <f>Datos_edif!A19</f>
        <v>Toneladas de CO2 evitadas</v>
      </c>
      <c r="M88" s="574"/>
      <c r="N88" s="4"/>
      <c r="O88" s="575">
        <f>Datos_edif!C19</f>
        <v>59.06</v>
      </c>
      <c r="P88" s="575"/>
      <c r="Q88" s="573" t="str">
        <f>Datos_edif!D19</f>
        <v>t CO2/año</v>
      </c>
      <c r="R88" s="4"/>
    </row>
    <row r="89" spans="1:18" ht="14.1" customHeight="1" x14ac:dyDescent="0.2">
      <c r="A89" s="2"/>
      <c r="B89" s="2"/>
      <c r="C89" s="3"/>
      <c r="D89" s="4"/>
      <c r="E89" s="4"/>
      <c r="F89" s="517"/>
      <c r="G89" s="415"/>
      <c r="H89" s="415"/>
      <c r="I89" s="551"/>
      <c r="J89" s="567"/>
      <c r="K89" s="4"/>
      <c r="L89" s="574"/>
      <c r="M89" s="574"/>
      <c r="N89" s="4"/>
      <c r="O89" s="575"/>
      <c r="P89" s="575"/>
      <c r="Q89" s="573"/>
      <c r="R89" s="4"/>
    </row>
    <row r="90" spans="1:18" ht="15" thickBot="1" x14ac:dyDescent="0.25">
      <c r="A90" s="2"/>
      <c r="B90" s="2"/>
      <c r="C90" s="3"/>
      <c r="D90" s="4"/>
      <c r="E90" s="4"/>
      <c r="F90" s="521"/>
      <c r="G90" s="522"/>
      <c r="H90" s="522"/>
      <c r="I90" s="522"/>
      <c r="J90" s="523"/>
      <c r="K90" s="4"/>
      <c r="L90" s="4"/>
      <c r="M90" s="4"/>
      <c r="N90" s="4"/>
      <c r="O90" s="4"/>
      <c r="P90" s="4"/>
      <c r="Q90" s="4"/>
      <c r="R90" s="4"/>
    </row>
    <row r="91" spans="1:18" x14ac:dyDescent="0.2">
      <c r="A91" s="2"/>
      <c r="B91" s="2"/>
      <c r="C91" s="3"/>
      <c r="D91" s="4"/>
      <c r="E91" s="4"/>
      <c r="F91" s="4"/>
      <c r="G91" s="4"/>
      <c r="H91" s="4"/>
      <c r="I91" s="4"/>
      <c r="J91" s="4"/>
      <c r="K91" s="4"/>
      <c r="L91" s="4"/>
      <c r="M91" s="4"/>
      <c r="N91" s="4"/>
      <c r="O91" s="4"/>
      <c r="P91" s="4"/>
      <c r="Q91" s="4"/>
      <c r="R91" s="4"/>
    </row>
    <row r="92" spans="1:18" x14ac:dyDescent="0.2">
      <c r="A92" s="2"/>
      <c r="B92" s="2"/>
      <c r="C92" s="3"/>
      <c r="D92" s="4"/>
      <c r="E92" s="4"/>
      <c r="F92" s="4"/>
      <c r="G92" s="4"/>
      <c r="H92" s="4"/>
      <c r="I92" s="4"/>
      <c r="J92" s="4"/>
      <c r="K92" s="4"/>
      <c r="L92" s="4"/>
      <c r="M92" s="4"/>
      <c r="N92" s="4"/>
      <c r="O92" s="4"/>
      <c r="P92" s="4"/>
      <c r="Q92" s="4"/>
      <c r="R92" s="4"/>
    </row>
    <row r="93" spans="1:18" ht="20.100000000000001" customHeight="1" x14ac:dyDescent="0.2">
      <c r="A93" s="2"/>
      <c r="B93" s="2"/>
      <c r="C93" s="3"/>
      <c r="D93" s="4"/>
      <c r="E93" s="564" t="s">
        <v>702</v>
      </c>
      <c r="F93" s="554" t="s">
        <v>2</v>
      </c>
      <c r="G93" s="554"/>
      <c r="H93" s="554"/>
      <c r="I93" s="554"/>
      <c r="J93" s="565" t="s">
        <v>790</v>
      </c>
      <c r="K93" s="565"/>
      <c r="L93" s="565"/>
      <c r="M93" s="565"/>
      <c r="N93" s="565"/>
      <c r="O93" s="565"/>
      <c r="P93" s="565"/>
      <c r="Q93" s="565"/>
      <c r="R93" s="4"/>
    </row>
    <row r="94" spans="1:18" ht="30" customHeight="1" x14ac:dyDescent="0.2">
      <c r="A94" s="2"/>
      <c r="B94" s="2"/>
      <c r="C94" s="3"/>
      <c r="D94" s="4"/>
      <c r="E94" s="564"/>
      <c r="F94" s="554" t="s">
        <v>3</v>
      </c>
      <c r="G94" s="554"/>
      <c r="H94" s="554"/>
      <c r="I94" s="554"/>
      <c r="J94" s="558" t="s">
        <v>1086</v>
      </c>
      <c r="K94" s="566"/>
      <c r="L94" s="566"/>
      <c r="M94" s="566"/>
      <c r="N94" s="566"/>
      <c r="O94" s="566"/>
      <c r="P94" s="566"/>
      <c r="Q94" s="566"/>
      <c r="R94" s="4"/>
    </row>
    <row r="95" spans="1:18" ht="60" customHeight="1" x14ac:dyDescent="0.2">
      <c r="A95" s="2"/>
      <c r="B95" s="2"/>
      <c r="C95" s="3"/>
      <c r="D95" s="4"/>
      <c r="E95" s="4"/>
      <c r="F95" s="554" t="s">
        <v>4</v>
      </c>
      <c r="G95" s="554"/>
      <c r="H95" s="554"/>
      <c r="I95" s="554"/>
      <c r="J95" s="555" t="s">
        <v>791</v>
      </c>
      <c r="K95" s="556"/>
      <c r="L95" s="556"/>
      <c r="M95" s="556"/>
      <c r="N95" s="556"/>
      <c r="O95" s="556"/>
      <c r="P95" s="556"/>
      <c r="Q95" s="557"/>
      <c r="R95" s="4"/>
    </row>
    <row r="96" spans="1:18" ht="15" thickBot="1" x14ac:dyDescent="0.25">
      <c r="A96" s="2"/>
      <c r="B96" s="2"/>
      <c r="C96" s="3"/>
      <c r="D96" s="4"/>
      <c r="E96" s="4"/>
      <c r="F96" s="4"/>
      <c r="G96" s="4"/>
      <c r="H96" s="4"/>
      <c r="I96" s="4"/>
      <c r="J96" s="4"/>
      <c r="K96" s="4"/>
      <c r="L96" s="4"/>
      <c r="M96" s="4"/>
      <c r="N96" s="4"/>
      <c r="O96" s="4"/>
      <c r="P96" s="4"/>
      <c r="Q96" s="4"/>
      <c r="R96" s="4"/>
    </row>
    <row r="97" spans="1:18" ht="15" x14ac:dyDescent="0.2">
      <c r="A97" s="2"/>
      <c r="B97" s="2"/>
      <c r="C97" s="3"/>
      <c r="D97" s="4"/>
      <c r="E97" s="4"/>
      <c r="F97" s="553" t="s">
        <v>20</v>
      </c>
      <c r="G97" s="553"/>
      <c r="H97" s="553"/>
      <c r="I97" s="553"/>
      <c r="J97" s="553"/>
      <c r="K97" s="4"/>
      <c r="L97" s="514"/>
      <c r="M97" s="515"/>
      <c r="N97" s="515"/>
      <c r="O97" s="515"/>
      <c r="P97" s="515"/>
      <c r="Q97" s="516"/>
      <c r="R97" s="4"/>
    </row>
    <row r="98" spans="1:18" ht="9.9499999999999993" customHeight="1" x14ac:dyDescent="0.2">
      <c r="A98" s="2"/>
      <c r="B98" s="2"/>
      <c r="C98" s="3"/>
      <c r="D98" s="4"/>
      <c r="E98" s="4"/>
      <c r="F98" s="4"/>
      <c r="G98" s="4"/>
      <c r="H98" s="4"/>
      <c r="I98" s="4"/>
      <c r="J98" s="4"/>
      <c r="K98" s="4"/>
      <c r="L98" s="517"/>
      <c r="M98" s="415"/>
      <c r="N98" s="415"/>
      <c r="O98" s="560" t="s">
        <v>689</v>
      </c>
      <c r="P98" s="560"/>
      <c r="Q98" s="561"/>
      <c r="R98" s="4"/>
    </row>
    <row r="99" spans="1:18" x14ac:dyDescent="0.2">
      <c r="A99" s="2"/>
      <c r="B99" s="2"/>
      <c r="C99" s="3"/>
      <c r="D99" s="4"/>
      <c r="E99" s="4"/>
      <c r="F99" s="552" t="s">
        <v>1116</v>
      </c>
      <c r="G99" s="552"/>
      <c r="H99" s="552"/>
      <c r="I99" s="552"/>
      <c r="J99" s="552"/>
      <c r="K99" s="4"/>
      <c r="L99" s="517"/>
      <c r="M99" s="415"/>
      <c r="N99" s="415"/>
      <c r="O99" s="560"/>
      <c r="P99" s="560"/>
      <c r="Q99" s="561"/>
      <c r="R99" s="4"/>
    </row>
    <row r="100" spans="1:18" x14ac:dyDescent="0.2">
      <c r="A100" s="2"/>
      <c r="B100" s="2"/>
      <c r="C100" s="3"/>
      <c r="D100" s="4"/>
      <c r="E100" s="4"/>
      <c r="F100" s="552"/>
      <c r="G100" s="552"/>
      <c r="H100" s="552"/>
      <c r="I100" s="552"/>
      <c r="J100" s="552"/>
      <c r="K100" s="4"/>
      <c r="L100" s="517"/>
      <c r="M100" s="415"/>
      <c r="N100" s="415"/>
      <c r="O100" s="560"/>
      <c r="P100" s="560"/>
      <c r="Q100" s="561"/>
      <c r="R100" s="4"/>
    </row>
    <row r="101" spans="1:18" ht="25.5" x14ac:dyDescent="0.2">
      <c r="A101" s="2"/>
      <c r="B101" s="2"/>
      <c r="C101" s="3"/>
      <c r="D101" s="4"/>
      <c r="E101" s="4"/>
      <c r="F101" s="4"/>
      <c r="G101" s="4"/>
      <c r="H101" s="4"/>
      <c r="I101" s="4"/>
      <c r="J101" s="4"/>
      <c r="K101" s="4"/>
      <c r="L101" s="517"/>
      <c r="M101" s="415"/>
      <c r="N101" s="415"/>
      <c r="O101" s="551">
        <f>ROUND(16.4*$I$103,0)</f>
        <v>41000</v>
      </c>
      <c r="P101" s="551"/>
      <c r="Q101" s="519" t="s">
        <v>690</v>
      </c>
      <c r="R101" s="4"/>
    </row>
    <row r="102" spans="1:18" x14ac:dyDescent="0.2">
      <c r="A102" s="2"/>
      <c r="B102" s="2"/>
      <c r="C102" s="3"/>
      <c r="D102" s="4"/>
      <c r="E102" s="4"/>
      <c r="F102" s="17" t="s">
        <v>982</v>
      </c>
      <c r="G102" s="4"/>
      <c r="H102" s="4"/>
      <c r="I102" s="4"/>
      <c r="J102" s="4"/>
      <c r="K102" s="4"/>
      <c r="L102" s="517"/>
      <c r="M102" s="415"/>
      <c r="N102" s="415"/>
      <c r="O102" s="415"/>
      <c r="P102" s="415"/>
      <c r="Q102" s="519"/>
      <c r="R102" s="4"/>
    </row>
    <row r="103" spans="1:18" ht="15" thickBot="1" x14ac:dyDescent="0.25">
      <c r="A103" s="2"/>
      <c r="B103" s="2"/>
      <c r="C103" s="3"/>
      <c r="D103" s="4"/>
      <c r="E103" s="4"/>
      <c r="F103" s="4"/>
      <c r="G103" s="4"/>
      <c r="H103" s="4"/>
      <c r="I103" s="527">
        <v>2500</v>
      </c>
      <c r="J103" s="324" t="s">
        <v>39</v>
      </c>
      <c r="K103" s="4"/>
      <c r="L103" s="521"/>
      <c r="M103" s="522"/>
      <c r="N103" s="522"/>
      <c r="O103" s="522"/>
      <c r="P103" s="522"/>
      <c r="Q103" s="523"/>
      <c r="R103" s="4"/>
    </row>
    <row r="104" spans="1:18" x14ac:dyDescent="0.2">
      <c r="A104" s="2"/>
      <c r="B104" s="2"/>
      <c r="C104" s="3"/>
      <c r="D104" s="4"/>
      <c r="E104" s="4"/>
      <c r="F104" s="4"/>
      <c r="G104" s="4"/>
      <c r="H104" s="4"/>
      <c r="I104" s="4"/>
      <c r="J104" s="4"/>
      <c r="K104" s="4"/>
      <c r="L104" s="4"/>
      <c r="M104" s="4"/>
      <c r="N104" s="4"/>
      <c r="O104" s="4"/>
      <c r="P104" s="4"/>
      <c r="Q104" s="4"/>
      <c r="R104" s="4"/>
    </row>
    <row r="105" spans="1:18" x14ac:dyDescent="0.2">
      <c r="A105" s="2"/>
      <c r="B105" s="2"/>
      <c r="C105" s="3"/>
      <c r="D105" s="4"/>
      <c r="E105" s="4"/>
      <c r="F105" s="4"/>
      <c r="G105" s="4"/>
      <c r="H105" s="4"/>
      <c r="I105" s="4"/>
      <c r="J105" s="4"/>
      <c r="K105" s="4"/>
      <c r="L105" s="4"/>
      <c r="M105" s="4"/>
      <c r="N105" s="4"/>
      <c r="O105" s="4"/>
      <c r="P105" s="4"/>
      <c r="Q105" s="4"/>
      <c r="R105" s="4"/>
    </row>
  </sheetData>
  <sheetProtection algorithmName="SHA-512" hashValue="ivHLhpTpG+LLKXFuCmikbHLj/sD4Y9AxcCcH+eLJFcDRu//IU2naaZ5+ImWMGqD5F8Fjv/bNTaLZMs/7OvYZww==" saltValue="kB7MZY+1TBAEh6QIG7r9aA==" spinCount="100000" sheet="1" objects="1" scenarios="1"/>
  <mergeCells count="71">
    <mergeCell ref="N79:P80"/>
    <mergeCell ref="O85:P86"/>
    <mergeCell ref="E93:E94"/>
    <mergeCell ref="F93:I93"/>
    <mergeCell ref="J93:Q93"/>
    <mergeCell ref="F94:I94"/>
    <mergeCell ref="J94:Q94"/>
    <mergeCell ref="J95:Q95"/>
    <mergeCell ref="Q88:Q89"/>
    <mergeCell ref="L88:M89"/>
    <mergeCell ref="O88:P89"/>
    <mergeCell ref="F53:I53"/>
    <mergeCell ref="J53:Q53"/>
    <mergeCell ref="I85:J86"/>
    <mergeCell ref="F82:Q82"/>
    <mergeCell ref="F74:Q74"/>
    <mergeCell ref="N76:Q76"/>
    <mergeCell ref="Q77:Q78"/>
    <mergeCell ref="Q79:Q80"/>
    <mergeCell ref="L85:M86"/>
    <mergeCell ref="Q85:Q86"/>
    <mergeCell ref="O62:P63"/>
    <mergeCell ref="N77:P78"/>
    <mergeCell ref="C3:L3"/>
    <mergeCell ref="F52:I52"/>
    <mergeCell ref="J52:Q52"/>
    <mergeCell ref="J30:Q30"/>
    <mergeCell ref="I47:I48"/>
    <mergeCell ref="J47:J48"/>
    <mergeCell ref="I20:J21"/>
    <mergeCell ref="O19:Q21"/>
    <mergeCell ref="E12:E13"/>
    <mergeCell ref="F12:I12"/>
    <mergeCell ref="J12:Q12"/>
    <mergeCell ref="F13:I13"/>
    <mergeCell ref="J13:Q13"/>
    <mergeCell ref="F18:J18"/>
    <mergeCell ref="F30:I30"/>
    <mergeCell ref="E52:E53"/>
    <mergeCell ref="F14:I14"/>
    <mergeCell ref="J14:Q14"/>
    <mergeCell ref="O98:Q100"/>
    <mergeCell ref="E28:E29"/>
    <mergeCell ref="F28:I28"/>
    <mergeCell ref="J28:Q28"/>
    <mergeCell ref="F29:I29"/>
    <mergeCell ref="J29:Q29"/>
    <mergeCell ref="E68:E69"/>
    <mergeCell ref="F68:I68"/>
    <mergeCell ref="J68:Q68"/>
    <mergeCell ref="F69:I69"/>
    <mergeCell ref="J69:Q69"/>
    <mergeCell ref="I88:I89"/>
    <mergeCell ref="J88:J89"/>
    <mergeCell ref="Q22:Q23"/>
    <mergeCell ref="O101:P101"/>
    <mergeCell ref="O22:P23"/>
    <mergeCell ref="F99:J100"/>
    <mergeCell ref="F97:J97"/>
    <mergeCell ref="F58:J58"/>
    <mergeCell ref="F70:I70"/>
    <mergeCell ref="J70:Q70"/>
    <mergeCell ref="F54:I54"/>
    <mergeCell ref="J54:Q54"/>
    <mergeCell ref="I60:J61"/>
    <mergeCell ref="O59:Q61"/>
    <mergeCell ref="Q62:Q63"/>
    <mergeCell ref="I34:J35"/>
    <mergeCell ref="F32:Q32"/>
    <mergeCell ref="F37:Q38"/>
    <mergeCell ref="F95:I95"/>
  </mergeCells>
  <conditionalFormatting sqref="F84:J90">
    <cfRule type="expression" dxfId="67" priority="1">
      <formula>$N$77="Reducción en el consumo de agua"</formula>
    </cfRule>
  </conditionalFormatting>
  <dataValidations count="1">
    <dataValidation type="list" allowBlank="1" showInputMessage="1" showErrorMessage="1" sqref="I20:J21" xr:uid="{9FB5D1C7-B2CF-42C7-8CAC-68853C9B8D18}">
      <formula1>CERTIFICACION</formula1>
    </dataValidation>
  </dataValidations>
  <hyperlinks>
    <hyperlink ref="G6" location="EDIFICIOS!E28" display="B. EDGE" xr:uid="{0E322B84-1F7B-4761-8E94-FE338BB4F3A1}"/>
    <hyperlink ref="G7" location="EDIFICIOS!E52" display="C. BREEAM" xr:uid="{3110D017-9E69-437E-84B8-421915D3BD14}"/>
    <hyperlink ref="G8" location="EDIFICIOS!E68" display="D. PUNTO VERDE" xr:uid="{04EBB3BA-B685-435E-83BF-53917AED4B00}"/>
    <hyperlink ref="G9" location="EDIFICIOS!E93" display="E. CONSTRUCCIÓN AVAL SEA" xr:uid="{526D6DC3-0117-40B0-87D6-890D480A0EAD}"/>
    <hyperlink ref="G5" location="EDIFICIOS!E12" display="A. LEED" xr:uid="{6A64A7E1-0C80-4EE6-8C47-CBBB2DA77B6C}"/>
  </hyperlinks>
  <pageMargins left="0.7" right="0.7" top="0.75" bottom="0.75" header="0.3" footer="0.3"/>
  <pageSetup paperSize="9" orientation="portrait" horizontalDpi="300" verticalDpi="3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CEA2221F-C9BD-48EE-A589-171B90C11FCF}">
            <xm:f>$N$77=Datos_edif!$D$10</xm:f>
            <x14:dxf>
              <font>
                <color rgb="FFDAE2E5"/>
              </font>
              <fill>
                <patternFill patternType="solid">
                  <bgColor rgb="FFDAE2E5"/>
                </patternFill>
              </fill>
            </x14:dxf>
          </x14:cfRule>
          <xm:sqref>O88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143FC13-7138-4CFD-A4EA-7BFA0A307204}">
          <x14:formula1>
            <xm:f>Datos_edif!$A$28:$A$32</xm:f>
          </x14:formula1>
          <xm:sqref>I60:J61</xm:sqref>
        </x14:dataValidation>
        <x14:dataValidation type="list" allowBlank="1" showInputMessage="1" showErrorMessage="1" xr:uid="{363F3938-FD6B-4FA2-AF43-7684F53B4944}">
          <x14:formula1>
            <xm:f>Datos_edif!$F$5:$F$6</xm:f>
          </x14:formula1>
          <xm:sqref>N76</xm:sqref>
        </x14:dataValidation>
        <x14:dataValidation type="list" allowBlank="1" showInputMessage="1" showErrorMessage="1" xr:uid="{96005AFB-A834-4494-A44D-EB5C14396CBF}">
          <x14:formula1>
            <xm:f>Datos_edif!$A$35:$A$37</xm:f>
          </x14:formula1>
          <xm:sqref>I34:J35</xm:sqref>
        </x14:dataValidation>
        <x14:dataValidation type="list" allowBlank="1" showInputMessage="1" showErrorMessage="1" xr:uid="{160385E4-55DA-42F5-B80A-F684017FF81B}">
          <x14:formula1>
            <xm:f>PDL!$E$9:$E$10</xm:f>
          </x14:formula1>
          <xm:sqref>N77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E224F-9BF8-42E2-B2B6-02B900576D1A}">
  <dimension ref="A1:I40"/>
  <sheetViews>
    <sheetView showGridLines="0" topLeftCell="A39" zoomScaleNormal="100" workbookViewId="0">
      <selection activeCell="E39" sqref="E39"/>
    </sheetView>
  </sheetViews>
  <sheetFormatPr baseColWidth="10" defaultColWidth="11" defaultRowHeight="14.25" x14ac:dyDescent="0.2"/>
  <cols>
    <col min="1" max="1" width="25.75" style="24" customWidth="1"/>
    <col min="2" max="2" width="34.75" style="24" customWidth="1"/>
    <col min="3" max="3" width="20.25" style="24" customWidth="1"/>
    <col min="4" max="4" width="14.75" style="24" customWidth="1"/>
    <col min="5" max="5" width="24.125" style="24" customWidth="1"/>
    <col min="6" max="6" width="19" style="24" customWidth="1"/>
    <col min="7" max="7" width="19.75" style="24" customWidth="1"/>
    <col min="8" max="8" width="35.625" style="24" customWidth="1"/>
    <col min="9" max="9" width="2.625" style="24" customWidth="1"/>
    <col min="10" max="16384" width="11" style="24"/>
  </cols>
  <sheetData>
    <row r="1" spans="1:9" ht="15" x14ac:dyDescent="0.2">
      <c r="A1" s="588" t="s">
        <v>683</v>
      </c>
      <c r="B1" s="589"/>
      <c r="C1" s="589"/>
      <c r="D1" s="589"/>
      <c r="E1" s="589"/>
      <c r="F1" s="589"/>
      <c r="G1" s="589"/>
      <c r="H1" s="589"/>
      <c r="I1" s="589"/>
    </row>
    <row r="3" spans="1:9" ht="30" customHeight="1" x14ac:dyDescent="0.2">
      <c r="A3" s="593" t="s">
        <v>139</v>
      </c>
      <c r="B3" s="594"/>
      <c r="C3" s="40" t="s">
        <v>108</v>
      </c>
      <c r="D3" s="40" t="s">
        <v>3</v>
      </c>
    </row>
    <row r="4" spans="1:9" ht="30" customHeight="1" x14ac:dyDescent="0.2">
      <c r="A4" s="595" t="s">
        <v>678</v>
      </c>
      <c r="B4" s="596"/>
      <c r="C4" s="264" t="str">
        <f>EDIFICIOS!N76</f>
        <v>Reconocimiento Punto Verde</v>
      </c>
    </row>
    <row r="5" spans="1:9" ht="48.75" customHeight="1" x14ac:dyDescent="0.2">
      <c r="A5" s="595" t="s">
        <v>679</v>
      </c>
      <c r="B5" s="596"/>
      <c r="C5" s="265" t="str">
        <f>EDIFICIOS!N77</f>
        <v>Reducción en el consumo de energía</v>
      </c>
      <c r="D5" s="64" t="str">
        <f>+D6</f>
        <v>kWh ahorrados/año</v>
      </c>
      <c r="F5" s="205" t="s">
        <v>684</v>
      </c>
      <c r="G5" s="205" t="s">
        <v>643</v>
      </c>
      <c r="H5" s="205" t="s">
        <v>800</v>
      </c>
    </row>
    <row r="6" spans="1:9" ht="50.25" customHeight="1" x14ac:dyDescent="0.2">
      <c r="A6" s="597" t="s">
        <v>664</v>
      </c>
      <c r="B6" s="598"/>
      <c r="C6" s="249">
        <f>EDIFICIOS!N79</f>
        <v>200</v>
      </c>
      <c r="D6" s="64" t="str">
        <f>EDIFICIOS!Q79</f>
        <v>kWh ahorrados/año</v>
      </c>
      <c r="F6" s="205" t="s">
        <v>701</v>
      </c>
      <c r="G6" s="205" t="s">
        <v>644</v>
      </c>
      <c r="H6" s="205" t="s">
        <v>645</v>
      </c>
    </row>
    <row r="7" spans="1:9" ht="25.5" customHeight="1" x14ac:dyDescent="0.2"/>
    <row r="8" spans="1:9" x14ac:dyDescent="0.2">
      <c r="A8" s="599" t="s">
        <v>74</v>
      </c>
      <c r="B8" s="599"/>
      <c r="C8" s="600"/>
      <c r="D8" s="250" t="s">
        <v>680</v>
      </c>
      <c r="E8" s="251" t="s">
        <v>140</v>
      </c>
    </row>
    <row r="9" spans="1:9" ht="42.75" x14ac:dyDescent="0.2">
      <c r="A9" s="259" t="s">
        <v>643</v>
      </c>
      <c r="B9" s="252" t="s">
        <v>801</v>
      </c>
      <c r="C9" s="252"/>
      <c r="D9" s="260" t="s">
        <v>643</v>
      </c>
      <c r="E9" s="260" t="s">
        <v>800</v>
      </c>
    </row>
    <row r="10" spans="1:9" ht="48.75" customHeight="1" x14ac:dyDescent="0.2">
      <c r="A10" s="261" t="s">
        <v>644</v>
      </c>
      <c r="B10" s="252" t="s">
        <v>681</v>
      </c>
      <c r="C10" s="252"/>
      <c r="D10" s="260" t="s">
        <v>644</v>
      </c>
      <c r="E10" s="260" t="s">
        <v>645</v>
      </c>
    </row>
    <row r="12" spans="1:9" x14ac:dyDescent="0.2">
      <c r="F12" s="27"/>
    </row>
    <row r="13" spans="1:9" x14ac:dyDescent="0.2">
      <c r="A13" s="590" t="s">
        <v>682</v>
      </c>
      <c r="B13" s="590"/>
      <c r="C13" s="590"/>
    </row>
    <row r="14" spans="1:9" ht="42.75" x14ac:dyDescent="0.2">
      <c r="A14" s="260" t="s">
        <v>665</v>
      </c>
      <c r="B14" s="252">
        <v>0.29530000000000001</v>
      </c>
      <c r="C14" s="260" t="s">
        <v>700</v>
      </c>
    </row>
    <row r="15" spans="1:9" ht="42.75" customHeight="1" x14ac:dyDescent="0.2">
      <c r="A15" s="253"/>
      <c r="B15" s="254"/>
      <c r="C15" s="255"/>
    </row>
    <row r="16" spans="1:9" x14ac:dyDescent="0.2">
      <c r="A16" s="45" t="s">
        <v>148</v>
      </c>
      <c r="B16" s="45"/>
    </row>
    <row r="17" spans="1:5" x14ac:dyDescent="0.2">
      <c r="A17" s="31" t="s">
        <v>85</v>
      </c>
      <c r="B17" s="31"/>
      <c r="C17" s="32" t="s">
        <v>3</v>
      </c>
      <c r="D17" s="32" t="s">
        <v>140</v>
      </c>
    </row>
    <row r="18" spans="1:5" ht="31.5" customHeight="1" x14ac:dyDescent="0.2">
      <c r="A18" s="591" t="s">
        <v>642</v>
      </c>
      <c r="B18" s="591"/>
      <c r="C18" s="262">
        <f>+C6</f>
        <v>200</v>
      </c>
      <c r="D18" s="263" t="str">
        <f>+D5</f>
        <v>kWh ahorrados/año</v>
      </c>
    </row>
    <row r="19" spans="1:5" ht="27.75" customHeight="1" x14ac:dyDescent="0.25">
      <c r="A19" s="592" t="str">
        <f>+IF(C5=D9,"Toneladas de CO2 evitadas","")</f>
        <v>Toneladas de CO2 evitadas</v>
      </c>
      <c r="B19" s="592"/>
      <c r="C19" s="44">
        <f>IF(C5=D9,IF(C5=D9,C6*B14,C6),"")</f>
        <v>59.06</v>
      </c>
      <c r="D19" s="256" t="str">
        <f>+IF(C5=D9,"t CO2/año","")</f>
        <v>t CO2/año</v>
      </c>
    </row>
    <row r="21" spans="1:5" ht="15" x14ac:dyDescent="0.2">
      <c r="A21" s="258" t="s">
        <v>693</v>
      </c>
      <c r="B21" s="258"/>
    </row>
    <row r="22" spans="1:5" ht="15" x14ac:dyDescent="0.2">
      <c r="A22" s="257" t="s">
        <v>687</v>
      </c>
      <c r="C22" s="318"/>
      <c r="D22" s="319" t="s">
        <v>1107</v>
      </c>
      <c r="E22" s="319" t="s">
        <v>1091</v>
      </c>
    </row>
    <row r="23" spans="1:5" x14ac:dyDescent="0.2">
      <c r="A23" s="257" t="s">
        <v>688</v>
      </c>
      <c r="C23" s="320" t="s">
        <v>862</v>
      </c>
      <c r="D23" s="481">
        <f>+(EDIFICIOS!$O$40+EDIFICIOS!$O$41)</f>
        <v>0</v>
      </c>
      <c r="E23" s="481">
        <v>0</v>
      </c>
    </row>
    <row r="24" spans="1:5" x14ac:dyDescent="0.2">
      <c r="A24" s="257" t="s">
        <v>686</v>
      </c>
      <c r="C24" s="320" t="s">
        <v>863</v>
      </c>
      <c r="D24" s="481">
        <f>+EDIFICIOS!$O$40</f>
        <v>0</v>
      </c>
      <c r="E24" s="482">
        <f>+EDIFICIOS!$O$41</f>
        <v>0</v>
      </c>
    </row>
    <row r="25" spans="1:5" x14ac:dyDescent="0.2">
      <c r="A25" s="257" t="s">
        <v>685</v>
      </c>
    </row>
    <row r="27" spans="1:5" ht="15" x14ac:dyDescent="0.2">
      <c r="A27" s="258" t="s">
        <v>694</v>
      </c>
      <c r="E27"/>
    </row>
    <row r="28" spans="1:5" x14ac:dyDescent="0.2">
      <c r="A28" s="24" t="s">
        <v>695</v>
      </c>
    </row>
    <row r="29" spans="1:5" x14ac:dyDescent="0.2">
      <c r="A29" s="24" t="s">
        <v>696</v>
      </c>
      <c r="D29"/>
    </row>
    <row r="30" spans="1:5" x14ac:dyDescent="0.2">
      <c r="A30" s="24" t="s">
        <v>697</v>
      </c>
      <c r="C30"/>
    </row>
    <row r="31" spans="1:5" x14ac:dyDescent="0.2">
      <c r="A31" s="24" t="s">
        <v>698</v>
      </c>
    </row>
    <row r="32" spans="1:5" x14ac:dyDescent="0.2">
      <c r="A32" s="24" t="s">
        <v>699</v>
      </c>
    </row>
    <row r="34" spans="1:4" ht="15" x14ac:dyDescent="0.2">
      <c r="A34" s="258" t="s">
        <v>831</v>
      </c>
      <c r="B34" s="24" t="s">
        <v>983</v>
      </c>
      <c r="C34" s="24" t="s">
        <v>984</v>
      </c>
      <c r="D34" s="24" t="s">
        <v>985</v>
      </c>
    </row>
    <row r="35" spans="1:4" ht="15" x14ac:dyDescent="0.25">
      <c r="A35" s="24" t="s">
        <v>832</v>
      </c>
      <c r="B35" s="428" t="s">
        <v>986</v>
      </c>
      <c r="C35" s="428" t="s">
        <v>986</v>
      </c>
      <c r="D35" s="428" t="s">
        <v>986</v>
      </c>
    </row>
    <row r="36" spans="1:4" ht="15" x14ac:dyDescent="0.25">
      <c r="A36" s="24" t="s">
        <v>833</v>
      </c>
      <c r="B36" s="428" t="s">
        <v>987</v>
      </c>
      <c r="C36" s="428" t="s">
        <v>986</v>
      </c>
      <c r="D36" s="428" t="s">
        <v>986</v>
      </c>
    </row>
    <row r="37" spans="1:4" ht="15" x14ac:dyDescent="0.25">
      <c r="A37" s="24" t="s">
        <v>834</v>
      </c>
      <c r="B37" s="24" t="s">
        <v>988</v>
      </c>
      <c r="C37" s="428" t="s">
        <v>986</v>
      </c>
      <c r="D37" s="428" t="s">
        <v>986</v>
      </c>
    </row>
    <row r="39" spans="1:4" ht="160.5" customHeight="1" x14ac:dyDescent="0.2">
      <c r="A39" s="509" t="str" cm="1">
        <f t="array" ref="A39:A40">+G5:G6</f>
        <v>Reducción en el consumo de energía</v>
      </c>
      <c r="B39" s="50"/>
    </row>
    <row r="40" spans="1:4" ht="160.5" customHeight="1" x14ac:dyDescent="0.2">
      <c r="A40" s="509" t="str">
        <v>Reducción en el consumo de agua</v>
      </c>
      <c r="B40" s="50"/>
    </row>
  </sheetData>
  <mergeCells count="9">
    <mergeCell ref="A1:I1"/>
    <mergeCell ref="A13:C13"/>
    <mergeCell ref="A18:B18"/>
    <mergeCell ref="A19:B19"/>
    <mergeCell ref="A3:B3"/>
    <mergeCell ref="A4:B4"/>
    <mergeCell ref="A5:B5"/>
    <mergeCell ref="A6:B6"/>
    <mergeCell ref="A8:C8"/>
  </mergeCells>
  <conditionalFormatting sqref="D18">
    <cfRule type="containsBlanks" dxfId="65" priority="1">
      <formula>LEN(TRIM(D18))=0</formula>
    </cfRule>
  </conditionalFormatting>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F21C0-D221-4CC7-8D56-2B0C93C62223}">
  <sheetPr>
    <tabColor theme="3" tint="-0.249977111117893"/>
  </sheetPr>
  <dimension ref="A1:R164"/>
  <sheetViews>
    <sheetView topLeftCell="B1" zoomScale="110" zoomScaleNormal="110" workbookViewId="0">
      <selection activeCell="H5" sqref="H5"/>
    </sheetView>
  </sheetViews>
  <sheetFormatPr baseColWidth="10" defaultColWidth="0" defaultRowHeight="14.25" zeroHeight="1" x14ac:dyDescent="0.2"/>
  <cols>
    <col min="1" max="1" width="2.625" customWidth="1"/>
    <col min="2" max="5" width="11" customWidth="1"/>
    <col min="6" max="6" width="2.125" customWidth="1"/>
    <col min="7" max="7" width="7" customWidth="1"/>
    <col min="8" max="8" width="8.375" customWidth="1"/>
    <col min="9" max="9" width="2.625" customWidth="1"/>
    <col min="10" max="11" width="11" customWidth="1"/>
    <col min="12" max="13" width="2.625" customWidth="1"/>
    <col min="14" max="14" width="11" customWidth="1"/>
    <col min="15" max="15" width="2.625" customWidth="1"/>
    <col min="16" max="16" width="11" customWidth="1"/>
    <col min="17" max="17" width="8.875" bestFit="1" customWidth="1"/>
    <col min="18" max="18" width="11" customWidth="1"/>
    <col min="19" max="16384" width="11" hidden="1"/>
  </cols>
  <sheetData>
    <row r="1" spans="1:18" x14ac:dyDescent="0.2">
      <c r="A1" s="2"/>
      <c r="B1" s="2"/>
      <c r="C1" s="3"/>
      <c r="D1" s="4"/>
      <c r="E1" s="4"/>
      <c r="F1" s="4"/>
      <c r="G1" s="4"/>
      <c r="H1" s="4"/>
      <c r="I1" s="4"/>
      <c r="J1" s="4"/>
      <c r="K1" s="4"/>
      <c r="L1" s="4"/>
      <c r="M1" s="4"/>
      <c r="N1" s="4"/>
      <c r="O1" s="4"/>
      <c r="P1" s="4"/>
      <c r="Q1" s="4"/>
      <c r="R1" s="4"/>
    </row>
    <row r="2" spans="1:18" x14ac:dyDescent="0.2">
      <c r="A2" s="2"/>
      <c r="B2" s="2"/>
      <c r="C2" s="3"/>
      <c r="D2" s="4"/>
      <c r="E2" s="4"/>
      <c r="F2" s="4"/>
      <c r="G2" s="4"/>
      <c r="H2" s="4"/>
      <c r="I2" s="4"/>
      <c r="J2" s="4"/>
      <c r="K2" s="4"/>
      <c r="L2" s="4"/>
      <c r="M2" s="4"/>
      <c r="N2" s="4"/>
      <c r="O2" s="4"/>
      <c r="P2" s="4"/>
      <c r="Q2" s="4"/>
      <c r="R2" s="4"/>
    </row>
    <row r="3" spans="1:18" x14ac:dyDescent="0.2">
      <c r="A3" s="2"/>
      <c r="B3" s="2"/>
      <c r="C3" s="619"/>
      <c r="D3" s="619"/>
      <c r="E3" s="619"/>
      <c r="F3" s="619"/>
      <c r="G3" s="619"/>
      <c r="H3" s="619"/>
      <c r="I3" s="619"/>
      <c r="J3" s="619"/>
      <c r="K3" s="619"/>
      <c r="L3" s="619"/>
      <c r="M3" s="619"/>
      <c r="N3" s="4"/>
      <c r="O3" s="4"/>
      <c r="P3" s="4"/>
      <c r="Q3" s="4"/>
      <c r="R3" s="4"/>
    </row>
    <row r="4" spans="1:18" x14ac:dyDescent="0.2">
      <c r="A4" s="2"/>
      <c r="B4" s="2"/>
      <c r="C4" s="5"/>
      <c r="D4" s="5"/>
      <c r="E4" s="5"/>
      <c r="F4" s="5"/>
      <c r="G4" s="5"/>
      <c r="H4" s="5"/>
      <c r="I4" s="5"/>
      <c r="J4" s="5"/>
      <c r="K4" s="5"/>
      <c r="L4" s="5"/>
      <c r="M4" s="18"/>
      <c r="N4" s="4"/>
      <c r="O4" s="4"/>
      <c r="P4" s="4"/>
      <c r="Q4" s="4"/>
      <c r="R4" s="4"/>
    </row>
    <row r="5" spans="1:18" x14ac:dyDescent="0.2">
      <c r="A5" s="2"/>
      <c r="B5" s="2"/>
      <c r="C5" s="5"/>
      <c r="D5" s="5"/>
      <c r="E5" s="5"/>
      <c r="F5" s="6"/>
      <c r="G5" s="5"/>
      <c r="H5" s="338" t="s">
        <v>13</v>
      </c>
      <c r="I5" s="5"/>
      <c r="J5" s="5"/>
      <c r="K5" s="5"/>
      <c r="L5" s="5"/>
      <c r="M5" s="18"/>
      <c r="N5" s="4"/>
      <c r="O5" s="4"/>
      <c r="P5" s="4"/>
      <c r="Q5" s="4"/>
      <c r="R5" s="4"/>
    </row>
    <row r="6" spans="1:18" x14ac:dyDescent="0.2">
      <c r="A6" s="2"/>
      <c r="B6" s="2"/>
      <c r="C6" s="5"/>
      <c r="D6" s="5"/>
      <c r="E6" s="5"/>
      <c r="F6" s="6"/>
      <c r="G6" s="5"/>
      <c r="H6" s="338" t="s">
        <v>14</v>
      </c>
      <c r="I6" s="338"/>
      <c r="J6" s="5"/>
      <c r="K6" s="5"/>
      <c r="L6" s="5"/>
      <c r="M6" s="18"/>
      <c r="N6" s="4"/>
      <c r="O6" s="4"/>
      <c r="P6" s="4"/>
      <c r="Q6" s="4"/>
      <c r="R6" s="4"/>
    </row>
    <row r="7" spans="1:18" x14ac:dyDescent="0.2">
      <c r="A7" s="2"/>
      <c r="B7" s="2"/>
      <c r="C7" s="5"/>
      <c r="D7" s="5"/>
      <c r="E7" s="5"/>
      <c r="F7" s="6"/>
      <c r="G7" s="5"/>
      <c r="H7" s="338" t="s">
        <v>15</v>
      </c>
      <c r="I7" s="339"/>
      <c r="J7" s="5"/>
      <c r="K7" s="5"/>
      <c r="L7" s="5"/>
      <c r="M7" s="18"/>
      <c r="N7" s="4"/>
      <c r="O7" s="4"/>
      <c r="P7" s="4"/>
      <c r="Q7" s="4"/>
      <c r="R7" s="4"/>
    </row>
    <row r="8" spans="1:18" x14ac:dyDescent="0.2">
      <c r="A8" s="2"/>
      <c r="B8" s="2"/>
      <c r="C8" s="5"/>
      <c r="D8" s="5"/>
      <c r="E8" s="5"/>
      <c r="F8" s="6"/>
      <c r="G8" s="5"/>
      <c r="H8" s="338" t="s">
        <v>16</v>
      </c>
      <c r="I8" s="339"/>
      <c r="J8" s="5"/>
      <c r="K8" s="5"/>
      <c r="L8" s="5"/>
      <c r="M8" s="18"/>
      <c r="N8" s="4"/>
      <c r="O8" s="4"/>
      <c r="P8" s="4"/>
      <c r="Q8" s="4"/>
      <c r="R8" s="4"/>
    </row>
    <row r="9" spans="1:18" x14ac:dyDescent="0.2">
      <c r="A9" s="2"/>
      <c r="B9" s="2"/>
      <c r="C9" s="5"/>
      <c r="D9" s="5"/>
      <c r="E9" s="5"/>
      <c r="F9" s="6"/>
      <c r="G9" s="5"/>
      <c r="H9" s="338" t="s">
        <v>17</v>
      </c>
      <c r="I9" s="339"/>
      <c r="J9" s="5"/>
      <c r="K9" s="5"/>
      <c r="L9" s="5"/>
      <c r="M9" s="18"/>
      <c r="N9" s="4"/>
      <c r="O9" s="4"/>
      <c r="P9" s="4"/>
      <c r="Q9" s="4"/>
      <c r="R9" s="4"/>
    </row>
    <row r="10" spans="1:18" x14ac:dyDescent="0.2">
      <c r="A10" s="2"/>
      <c r="B10" s="2"/>
      <c r="C10" s="5"/>
      <c r="D10" s="5"/>
      <c r="E10" s="5"/>
      <c r="F10" s="5"/>
      <c r="G10" s="5"/>
      <c r="H10" s="5"/>
      <c r="I10" s="5"/>
      <c r="J10" s="5"/>
      <c r="K10" s="5"/>
      <c r="L10" s="5"/>
      <c r="M10" s="18"/>
      <c r="N10" s="4"/>
      <c r="O10" s="4"/>
      <c r="P10" s="4"/>
      <c r="Q10" s="4"/>
      <c r="R10" s="4"/>
    </row>
    <row r="11" spans="1:18" x14ac:dyDescent="0.2">
      <c r="A11" s="2"/>
      <c r="B11" s="2"/>
      <c r="C11" s="3"/>
      <c r="D11" s="4"/>
      <c r="E11" s="4"/>
      <c r="F11" s="4"/>
      <c r="G11" s="4"/>
      <c r="H11" s="4"/>
      <c r="I11" s="4"/>
      <c r="J11" s="4"/>
      <c r="K11" s="4"/>
      <c r="L11" s="4"/>
      <c r="M11" s="4"/>
      <c r="N11" s="4"/>
      <c r="O11" s="4"/>
      <c r="P11" s="4"/>
      <c r="Q11" s="4"/>
      <c r="R11" s="4"/>
    </row>
    <row r="12" spans="1:18" ht="30" customHeight="1" x14ac:dyDescent="0.2">
      <c r="A12" s="2"/>
      <c r="B12" s="2"/>
      <c r="C12" s="3"/>
      <c r="D12" s="4"/>
      <c r="E12" s="616" t="s">
        <v>18</v>
      </c>
      <c r="F12" s="617" t="s">
        <v>2</v>
      </c>
      <c r="G12" s="617"/>
      <c r="H12" s="617"/>
      <c r="I12" s="617"/>
      <c r="J12" s="617"/>
      <c r="K12" s="618" t="s">
        <v>5</v>
      </c>
      <c r="L12" s="618"/>
      <c r="M12" s="618"/>
      <c r="N12" s="618"/>
      <c r="O12" s="618"/>
      <c r="P12" s="618"/>
      <c r="Q12" s="618"/>
      <c r="R12" s="4"/>
    </row>
    <row r="13" spans="1:18" ht="20.100000000000001" customHeight="1" x14ac:dyDescent="0.2">
      <c r="A13" s="2"/>
      <c r="B13" s="2"/>
      <c r="C13" s="3"/>
      <c r="D13" s="4"/>
      <c r="E13" s="616"/>
      <c r="F13" s="617" t="s">
        <v>3</v>
      </c>
      <c r="G13" s="617"/>
      <c r="H13" s="617"/>
      <c r="I13" s="617"/>
      <c r="J13" s="617"/>
      <c r="K13" s="618" t="s">
        <v>1083</v>
      </c>
      <c r="L13" s="618"/>
      <c r="M13" s="618"/>
      <c r="N13" s="618"/>
      <c r="O13" s="618"/>
      <c r="P13" s="618"/>
      <c r="Q13" s="618"/>
      <c r="R13" s="4"/>
    </row>
    <row r="14" spans="1:18" ht="60" customHeight="1" x14ac:dyDescent="0.2">
      <c r="A14" s="2"/>
      <c r="B14" s="2"/>
      <c r="C14" s="3"/>
      <c r="D14" s="4"/>
      <c r="E14" s="4"/>
      <c r="F14" s="611" t="s">
        <v>50</v>
      </c>
      <c r="G14" s="611"/>
      <c r="H14" s="611"/>
      <c r="I14" s="611"/>
      <c r="J14" s="611"/>
      <c r="K14" s="605" t="s">
        <v>1079</v>
      </c>
      <c r="L14" s="606"/>
      <c r="M14" s="606"/>
      <c r="N14" s="606"/>
      <c r="O14" s="606"/>
      <c r="P14" s="606"/>
      <c r="Q14" s="606"/>
      <c r="R14" s="4"/>
    </row>
    <row r="15" spans="1:18" ht="14.25" customHeight="1" x14ac:dyDescent="0.2">
      <c r="A15" s="2"/>
      <c r="B15" s="2"/>
      <c r="C15" s="3"/>
      <c r="D15" s="4"/>
      <c r="E15" s="4"/>
      <c r="F15" s="4"/>
      <c r="G15" s="4"/>
      <c r="H15" s="4"/>
      <c r="I15" s="4"/>
      <c r="J15" s="4"/>
      <c r="K15" s="4"/>
      <c r="L15" s="4"/>
      <c r="M15" s="4"/>
      <c r="N15" s="4"/>
      <c r="O15" s="4"/>
      <c r="P15" s="4"/>
      <c r="Q15" s="4"/>
      <c r="R15" s="4"/>
    </row>
    <row r="16" spans="1:18" ht="14.25" customHeight="1" x14ac:dyDescent="0.2">
      <c r="A16" s="2"/>
      <c r="B16" s="2"/>
      <c r="C16" s="3"/>
      <c r="D16" s="4"/>
      <c r="E16" s="4"/>
      <c r="F16" s="610" t="s">
        <v>856</v>
      </c>
      <c r="G16" s="610"/>
      <c r="H16" s="323"/>
      <c r="I16" s="612" t="s">
        <v>855</v>
      </c>
      <c r="J16" s="612"/>
      <c r="K16" s="612"/>
      <c r="L16" s="4"/>
      <c r="M16" s="4"/>
      <c r="N16" s="4"/>
      <c r="O16" s="4"/>
      <c r="P16" s="4"/>
      <c r="Q16" s="4"/>
      <c r="R16" s="4"/>
    </row>
    <row r="17" spans="1:18" ht="8.1" customHeight="1" x14ac:dyDescent="0.2">
      <c r="A17" s="2"/>
      <c r="B17" s="2"/>
      <c r="C17" s="3"/>
      <c r="D17" s="4"/>
      <c r="E17" s="4"/>
      <c r="F17" s="610"/>
      <c r="G17" s="610"/>
      <c r="H17" s="323"/>
      <c r="I17" s="612"/>
      <c r="J17" s="612"/>
      <c r="K17" s="612"/>
      <c r="L17" s="4"/>
      <c r="M17" s="4"/>
      <c r="N17" s="4"/>
      <c r="O17" s="4"/>
      <c r="P17" s="4"/>
      <c r="Q17" s="4"/>
      <c r="R17" s="4"/>
    </row>
    <row r="18" spans="1:18" ht="15" customHeight="1" x14ac:dyDescent="0.2">
      <c r="A18" s="2"/>
      <c r="B18" s="2"/>
      <c r="C18" s="3"/>
      <c r="D18" s="4"/>
      <c r="E18" s="4"/>
      <c r="F18" s="610"/>
      <c r="G18" s="610"/>
      <c r="H18" s="323"/>
      <c r="I18" s="612"/>
      <c r="J18" s="612"/>
      <c r="K18" s="612"/>
      <c r="L18" s="4"/>
      <c r="M18" s="4"/>
      <c r="N18" s="4"/>
      <c r="O18" s="4"/>
      <c r="P18" s="4"/>
      <c r="Q18" s="4"/>
      <c r="R18" s="4"/>
    </row>
    <row r="19" spans="1:18" ht="14.25" customHeight="1" x14ac:dyDescent="0.2">
      <c r="A19" s="2"/>
      <c r="B19" s="2"/>
      <c r="C19" s="3"/>
      <c r="D19" s="4"/>
      <c r="E19" s="4"/>
      <c r="F19" s="4"/>
      <c r="G19" s="4"/>
      <c r="H19" s="4"/>
      <c r="I19" s="4"/>
      <c r="J19" s="4"/>
      <c r="K19" s="4"/>
      <c r="L19" s="4"/>
      <c r="M19" s="4"/>
      <c r="N19" s="4"/>
      <c r="O19" s="4"/>
      <c r="P19" s="4"/>
      <c r="Q19" s="4"/>
      <c r="R19" s="4"/>
    </row>
    <row r="20" spans="1:18" ht="15" x14ac:dyDescent="0.2">
      <c r="A20" s="2"/>
      <c r="B20" s="2"/>
      <c r="C20" s="3"/>
      <c r="D20" s="4"/>
      <c r="E20" s="4"/>
      <c r="F20" s="601" t="s">
        <v>20</v>
      </c>
      <c r="G20" s="601"/>
      <c r="H20" s="601"/>
      <c r="I20" s="601"/>
      <c r="J20" s="601"/>
      <c r="K20" s="601"/>
      <c r="L20" s="601"/>
      <c r="M20" s="601"/>
      <c r="N20" s="601"/>
      <c r="O20" s="601"/>
      <c r="P20" s="601"/>
      <c r="Q20" s="601"/>
      <c r="R20" s="4"/>
    </row>
    <row r="21" spans="1:18" ht="9.9499999999999993" customHeight="1" x14ac:dyDescent="0.2">
      <c r="A21" s="2"/>
      <c r="B21" s="2"/>
      <c r="C21" s="3"/>
      <c r="D21" s="4"/>
      <c r="E21" s="4"/>
      <c r="F21" s="4"/>
      <c r="G21" s="4"/>
      <c r="H21" s="4"/>
      <c r="I21" s="4"/>
      <c r="J21" s="4"/>
      <c r="K21" s="4"/>
      <c r="L21" s="4"/>
      <c r="M21" s="4"/>
      <c r="N21" s="4"/>
      <c r="O21" s="4"/>
      <c r="P21" s="4"/>
      <c r="Q21" s="4"/>
      <c r="R21" s="4"/>
    </row>
    <row r="22" spans="1:18" x14ac:dyDescent="0.2">
      <c r="A22" s="2"/>
      <c r="B22" s="2"/>
      <c r="C22" s="3"/>
      <c r="D22" s="4"/>
      <c r="E22" s="4"/>
      <c r="F22" s="17" t="s">
        <v>1088</v>
      </c>
      <c r="G22" s="17"/>
      <c r="H22" s="4"/>
      <c r="I22" s="4"/>
      <c r="J22" s="4"/>
      <c r="K22" s="4"/>
      <c r="L22" s="4"/>
      <c r="M22" s="4"/>
      <c r="N22" s="4"/>
      <c r="O22" s="4"/>
      <c r="P22" s="614" t="s">
        <v>384</v>
      </c>
      <c r="Q22" s="615"/>
      <c r="R22" s="4"/>
    </row>
    <row r="23" spans="1:18" x14ac:dyDescent="0.2">
      <c r="A23" s="2"/>
      <c r="B23" s="2"/>
      <c r="C23" s="3"/>
      <c r="D23" s="4"/>
      <c r="E23" s="4"/>
      <c r="F23" s="17" t="s">
        <v>989</v>
      </c>
      <c r="G23" s="17"/>
      <c r="H23" s="4"/>
      <c r="I23" s="4"/>
      <c r="J23" s="4"/>
      <c r="K23" s="4"/>
      <c r="L23" s="4"/>
      <c r="M23" s="4"/>
      <c r="N23" s="4"/>
      <c r="O23" s="4"/>
      <c r="P23" s="530">
        <v>9</v>
      </c>
      <c r="Q23" s="324" t="s">
        <v>990</v>
      </c>
      <c r="R23" s="4"/>
    </row>
    <row r="24" spans="1:18" x14ac:dyDescent="0.2">
      <c r="A24" s="2"/>
      <c r="B24" s="2"/>
      <c r="C24" s="3"/>
      <c r="D24" s="4"/>
      <c r="E24" s="4"/>
      <c r="F24" s="17" t="s">
        <v>962</v>
      </c>
      <c r="G24" s="17"/>
      <c r="H24" s="4"/>
      <c r="I24" s="4"/>
      <c r="J24" s="4"/>
      <c r="K24" s="4"/>
      <c r="L24" s="4"/>
      <c r="M24" s="4"/>
      <c r="N24" s="4"/>
      <c r="O24" s="4"/>
      <c r="P24" s="614" t="s">
        <v>330</v>
      </c>
      <c r="Q24" s="615"/>
      <c r="R24" s="4"/>
    </row>
    <row r="25" spans="1:18" x14ac:dyDescent="0.2">
      <c r="A25" s="2"/>
      <c r="B25" s="2"/>
      <c r="C25" s="3"/>
      <c r="D25" s="4"/>
      <c r="E25" s="4"/>
      <c r="F25" s="17" t="s">
        <v>967</v>
      </c>
      <c r="G25" s="17"/>
      <c r="H25" s="4"/>
      <c r="I25" s="4"/>
      <c r="J25" s="4"/>
      <c r="K25" s="4"/>
      <c r="L25" s="4"/>
      <c r="M25" s="4"/>
      <c r="N25" s="4"/>
      <c r="O25" s="4"/>
      <c r="P25" s="531">
        <v>8</v>
      </c>
      <c r="Q25" s="324" t="s">
        <v>29</v>
      </c>
      <c r="R25" s="4"/>
    </row>
    <row r="26" spans="1:18" x14ac:dyDescent="0.2">
      <c r="A26" s="2"/>
      <c r="B26" s="2"/>
      <c r="C26" s="3"/>
      <c r="D26" s="4"/>
      <c r="E26" s="4"/>
      <c r="F26" s="17" t="s">
        <v>963</v>
      </c>
      <c r="G26" s="17"/>
      <c r="H26" s="4"/>
      <c r="I26" s="4"/>
      <c r="J26" s="4"/>
      <c r="K26" s="4"/>
      <c r="L26" s="4"/>
      <c r="M26" s="4"/>
      <c r="N26" s="4"/>
      <c r="O26" s="4"/>
      <c r="P26" s="614" t="s">
        <v>346</v>
      </c>
      <c r="Q26" s="615"/>
      <c r="R26" s="4"/>
    </row>
    <row r="27" spans="1:18" x14ac:dyDescent="0.2">
      <c r="A27" s="2"/>
      <c r="B27" s="2"/>
      <c r="C27" s="3"/>
      <c r="D27" s="4"/>
      <c r="E27" s="4"/>
      <c r="F27" s="4"/>
      <c r="G27" s="4"/>
      <c r="H27" s="4"/>
      <c r="I27" s="4"/>
      <c r="J27" s="4"/>
      <c r="K27" s="4"/>
      <c r="L27" s="4"/>
      <c r="M27" s="4"/>
      <c r="N27" s="4"/>
      <c r="O27" s="4"/>
      <c r="P27" s="4"/>
      <c r="Q27" s="4"/>
      <c r="R27" s="4"/>
    </row>
    <row r="28" spans="1:18" ht="15" x14ac:dyDescent="0.2">
      <c r="A28" s="2"/>
      <c r="B28" s="2"/>
      <c r="C28" s="3"/>
      <c r="D28" s="4"/>
      <c r="E28" s="4"/>
      <c r="F28" s="601" t="s">
        <v>36</v>
      </c>
      <c r="G28" s="601"/>
      <c r="H28" s="601"/>
      <c r="I28" s="601"/>
      <c r="J28" s="601"/>
      <c r="K28" s="601"/>
      <c r="L28" s="601"/>
      <c r="M28" s="601"/>
      <c r="N28" s="601"/>
      <c r="O28" s="601"/>
      <c r="P28" s="601"/>
      <c r="Q28" s="601"/>
      <c r="R28" s="4"/>
    </row>
    <row r="29" spans="1:18" ht="9.9499999999999993" customHeight="1" x14ac:dyDescent="0.2">
      <c r="A29" s="2"/>
      <c r="B29" s="2"/>
      <c r="C29" s="3"/>
      <c r="D29" s="4"/>
      <c r="E29" s="4"/>
      <c r="F29" s="4"/>
      <c r="G29" s="4"/>
      <c r="H29" s="4"/>
      <c r="I29" s="4"/>
      <c r="J29" s="4"/>
      <c r="K29" s="4"/>
      <c r="L29" s="4"/>
      <c r="M29" s="4"/>
      <c r="N29" s="4"/>
      <c r="O29" s="4"/>
      <c r="P29" s="4"/>
      <c r="Q29" s="4"/>
      <c r="R29" s="4"/>
    </row>
    <row r="30" spans="1:18" x14ac:dyDescent="0.2">
      <c r="A30" s="2"/>
      <c r="B30" s="2"/>
      <c r="C30" s="3"/>
      <c r="D30" s="4"/>
      <c r="E30" s="4"/>
      <c r="F30" s="17" t="s">
        <v>40</v>
      </c>
      <c r="G30" s="17"/>
      <c r="H30" s="17"/>
      <c r="I30" s="17"/>
      <c r="J30" s="19">
        <f>'Datos Eff Energ'!D29</f>
        <v>70.786566891166771</v>
      </c>
      <c r="K30" s="324" t="s">
        <v>39</v>
      </c>
      <c r="L30" s="4"/>
      <c r="M30" s="4"/>
      <c r="N30" s="4"/>
      <c r="O30" s="4"/>
      <c r="P30" s="4"/>
      <c r="Q30" s="4"/>
      <c r="R30" s="4"/>
    </row>
    <row r="31" spans="1:18" ht="15" thickBot="1" x14ac:dyDescent="0.25">
      <c r="A31" s="2"/>
      <c r="B31" s="2"/>
      <c r="C31" s="3"/>
      <c r="D31" s="4"/>
      <c r="E31" s="4"/>
      <c r="F31" s="4"/>
      <c r="G31" s="4"/>
      <c r="H31" s="4"/>
      <c r="I31" s="4"/>
      <c r="J31" s="4"/>
      <c r="K31" s="4"/>
      <c r="L31" s="4"/>
      <c r="M31" s="4"/>
      <c r="N31" s="4"/>
      <c r="O31" s="4"/>
      <c r="P31" s="4"/>
      <c r="Q31" s="4"/>
      <c r="R31" s="4"/>
    </row>
    <row r="32" spans="1:18" x14ac:dyDescent="0.2">
      <c r="A32" s="2"/>
      <c r="B32" s="2"/>
      <c r="C32" s="3"/>
      <c r="D32" s="4"/>
      <c r="E32" s="4"/>
      <c r="F32" s="329"/>
      <c r="G32" s="330"/>
      <c r="H32" s="330"/>
      <c r="I32" s="330"/>
      <c r="J32" s="330"/>
      <c r="K32" s="325"/>
      <c r="L32" s="4"/>
      <c r="M32" s="4"/>
      <c r="N32" s="4"/>
      <c r="O32" s="4"/>
      <c r="P32" s="4"/>
      <c r="Q32" s="4"/>
      <c r="R32" s="4"/>
    </row>
    <row r="33" spans="1:18" x14ac:dyDescent="0.2">
      <c r="A33" s="2"/>
      <c r="B33" s="2"/>
      <c r="C33" s="3"/>
      <c r="D33" s="4"/>
      <c r="E33" s="4"/>
      <c r="F33" s="331"/>
      <c r="G33" s="332"/>
      <c r="H33" s="332"/>
      <c r="I33" s="333" t="s">
        <v>691</v>
      </c>
      <c r="J33" s="333"/>
      <c r="K33" s="326"/>
      <c r="L33" s="4"/>
      <c r="M33" s="4"/>
      <c r="N33" s="4"/>
      <c r="O33" s="4"/>
      <c r="P33" s="4"/>
      <c r="Q33" s="4"/>
      <c r="R33" s="4"/>
    </row>
    <row r="34" spans="1:18" x14ac:dyDescent="0.2">
      <c r="A34" s="2"/>
      <c r="B34" s="2"/>
      <c r="C34" s="3"/>
      <c r="D34" s="4"/>
      <c r="E34" s="4"/>
      <c r="F34" s="331"/>
      <c r="G34" s="332"/>
      <c r="H34" s="332"/>
      <c r="I34" s="333" t="s">
        <v>692</v>
      </c>
      <c r="J34" s="333"/>
      <c r="K34" s="326"/>
      <c r="L34" s="4"/>
      <c r="M34" s="4"/>
      <c r="N34" s="4"/>
      <c r="O34" s="4"/>
      <c r="P34" s="4"/>
      <c r="Q34" s="4"/>
      <c r="R34" s="4"/>
    </row>
    <row r="35" spans="1:18" x14ac:dyDescent="0.2">
      <c r="A35" s="2"/>
      <c r="B35" s="2"/>
      <c r="C35" s="3"/>
      <c r="D35" s="4"/>
      <c r="E35" s="4"/>
      <c r="F35" s="331"/>
      <c r="G35" s="332"/>
      <c r="H35" s="332"/>
      <c r="I35" s="332"/>
      <c r="J35" s="37"/>
      <c r="K35" s="327"/>
      <c r="L35" s="4"/>
      <c r="M35" s="4"/>
      <c r="N35" s="4"/>
      <c r="O35" s="4"/>
      <c r="P35" s="4"/>
      <c r="Q35" s="4"/>
      <c r="R35" s="4"/>
    </row>
    <row r="36" spans="1:18" x14ac:dyDescent="0.2">
      <c r="A36" s="2"/>
      <c r="B36" s="2"/>
      <c r="C36" s="3"/>
      <c r="D36" s="4"/>
      <c r="E36" s="4"/>
      <c r="F36" s="331"/>
      <c r="G36" s="332"/>
      <c r="H36" s="332"/>
      <c r="I36" s="603">
        <f>ROUND(16.4*$J$30,0)</f>
        <v>1161</v>
      </c>
      <c r="J36" s="603"/>
      <c r="K36" s="604" t="s">
        <v>690</v>
      </c>
      <c r="L36" s="4"/>
      <c r="M36" s="4"/>
      <c r="N36" s="4"/>
      <c r="O36" s="4"/>
      <c r="P36" s="4"/>
      <c r="Q36" s="4"/>
      <c r="R36" s="4"/>
    </row>
    <row r="37" spans="1:18" x14ac:dyDescent="0.2">
      <c r="A37" s="2"/>
      <c r="B37" s="2"/>
      <c r="C37" s="3"/>
      <c r="D37" s="4"/>
      <c r="E37" s="4"/>
      <c r="F37" s="331"/>
      <c r="G37" s="332"/>
      <c r="H37" s="332"/>
      <c r="I37" s="603"/>
      <c r="J37" s="603"/>
      <c r="K37" s="604"/>
      <c r="L37" s="4"/>
      <c r="M37" s="4"/>
      <c r="N37" s="4"/>
      <c r="O37" s="4"/>
      <c r="P37" s="4"/>
      <c r="Q37" s="4"/>
      <c r="R37" s="4"/>
    </row>
    <row r="38" spans="1:18" ht="15" thickBot="1" x14ac:dyDescent="0.25">
      <c r="A38" s="2"/>
      <c r="B38" s="2"/>
      <c r="C38" s="3"/>
      <c r="D38" s="4"/>
      <c r="E38" s="4"/>
      <c r="F38" s="334"/>
      <c r="G38" s="335"/>
      <c r="H38" s="335"/>
      <c r="I38" s="335"/>
      <c r="J38" s="335"/>
      <c r="K38" s="328"/>
      <c r="L38" s="4"/>
      <c r="M38" s="4"/>
      <c r="N38" s="4"/>
      <c r="O38" s="4"/>
      <c r="P38" s="4"/>
      <c r="Q38" s="4"/>
      <c r="R38" s="4"/>
    </row>
    <row r="39" spans="1:18" x14ac:dyDescent="0.2">
      <c r="A39" s="2"/>
      <c r="B39" s="2"/>
      <c r="C39" s="3"/>
      <c r="D39" s="4"/>
      <c r="E39" s="4"/>
      <c r="F39" s="4"/>
      <c r="G39" s="4"/>
      <c r="H39" s="4"/>
      <c r="I39" s="4"/>
      <c r="J39" s="4"/>
      <c r="K39" s="4"/>
      <c r="L39" s="4"/>
      <c r="M39" s="4"/>
      <c r="N39" s="4"/>
      <c r="O39" s="4"/>
      <c r="P39" s="4"/>
      <c r="Q39" s="4"/>
      <c r="R39" s="4"/>
    </row>
    <row r="40" spans="1:18" x14ac:dyDescent="0.2">
      <c r="A40" s="2"/>
      <c r="B40" s="2"/>
      <c r="C40" s="3"/>
      <c r="D40" s="4"/>
      <c r="E40" s="4"/>
      <c r="F40" s="4"/>
      <c r="G40" s="4"/>
      <c r="H40" s="4"/>
      <c r="I40" s="4"/>
      <c r="J40" s="4"/>
      <c r="K40" s="4"/>
      <c r="L40" s="4"/>
      <c r="M40" s="4"/>
      <c r="N40" s="4"/>
      <c r="O40" s="4"/>
      <c r="P40" s="4"/>
      <c r="Q40" s="4"/>
      <c r="R40" s="4"/>
    </row>
    <row r="41" spans="1:18" ht="20.100000000000001" customHeight="1" x14ac:dyDescent="0.2">
      <c r="A41" s="2"/>
      <c r="B41" s="2"/>
      <c r="C41" s="3"/>
      <c r="D41" s="4"/>
      <c r="E41" s="616" t="s">
        <v>19</v>
      </c>
      <c r="F41" s="617" t="s">
        <v>2</v>
      </c>
      <c r="G41" s="617"/>
      <c r="H41" s="617"/>
      <c r="I41" s="617"/>
      <c r="J41" s="617"/>
      <c r="K41" s="618" t="s">
        <v>6</v>
      </c>
      <c r="L41" s="618"/>
      <c r="M41" s="618"/>
      <c r="N41" s="618"/>
      <c r="O41" s="618"/>
      <c r="P41" s="618"/>
      <c r="Q41" s="618"/>
      <c r="R41" s="4"/>
    </row>
    <row r="42" spans="1:18" ht="20.100000000000001" customHeight="1" x14ac:dyDescent="0.2">
      <c r="A42" s="2"/>
      <c r="B42" s="2"/>
      <c r="C42" s="3"/>
      <c r="D42" s="4"/>
      <c r="E42" s="616"/>
      <c r="F42" s="617" t="s">
        <v>3</v>
      </c>
      <c r="G42" s="617"/>
      <c r="H42" s="617"/>
      <c r="I42" s="617"/>
      <c r="J42" s="617"/>
      <c r="K42" s="618" t="s">
        <v>1083</v>
      </c>
      <c r="L42" s="618"/>
      <c r="M42" s="618"/>
      <c r="N42" s="618"/>
      <c r="O42" s="618"/>
      <c r="P42" s="618"/>
      <c r="Q42" s="618"/>
      <c r="R42" s="4"/>
    </row>
    <row r="43" spans="1:18" ht="60" customHeight="1" x14ac:dyDescent="0.2">
      <c r="A43" s="2"/>
      <c r="B43" s="2"/>
      <c r="C43" s="3"/>
      <c r="D43" s="4"/>
      <c r="E43" s="4"/>
      <c r="F43" s="611" t="s">
        <v>50</v>
      </c>
      <c r="G43" s="611"/>
      <c r="H43" s="611"/>
      <c r="I43" s="611"/>
      <c r="J43" s="611"/>
      <c r="K43" s="605" t="s">
        <v>1080</v>
      </c>
      <c r="L43" s="606"/>
      <c r="M43" s="606"/>
      <c r="N43" s="606"/>
      <c r="O43" s="606"/>
      <c r="P43" s="606"/>
      <c r="Q43" s="606"/>
      <c r="R43" s="4"/>
    </row>
    <row r="44" spans="1:18" x14ac:dyDescent="0.2">
      <c r="A44" s="2"/>
      <c r="B44" s="2"/>
      <c r="C44" s="3"/>
      <c r="D44" s="4"/>
      <c r="E44" s="4"/>
      <c r="F44" s="4"/>
      <c r="G44" s="4"/>
      <c r="H44" s="4"/>
      <c r="I44" s="4"/>
      <c r="J44" s="4"/>
      <c r="K44" s="4"/>
      <c r="L44" s="4"/>
      <c r="M44" s="4"/>
      <c r="N44" s="4"/>
      <c r="O44" s="4"/>
      <c r="P44" s="4"/>
      <c r="Q44" s="4"/>
      <c r="R44" s="4"/>
    </row>
    <row r="45" spans="1:18" ht="14.25" customHeight="1" x14ac:dyDescent="0.2">
      <c r="A45" s="2"/>
      <c r="B45" s="2"/>
      <c r="C45" s="3"/>
      <c r="D45" s="4"/>
      <c r="E45" s="4"/>
      <c r="F45" s="601" t="s">
        <v>20</v>
      </c>
      <c r="G45" s="601"/>
      <c r="H45" s="601"/>
      <c r="I45" s="601"/>
      <c r="J45" s="601"/>
      <c r="K45" s="601"/>
      <c r="L45" s="601"/>
      <c r="M45" s="601"/>
      <c r="N45" s="601"/>
      <c r="O45" s="601"/>
      <c r="P45" s="601"/>
      <c r="Q45" s="601"/>
      <c r="R45" s="4"/>
    </row>
    <row r="46" spans="1:18" ht="9.9499999999999993" customHeight="1" x14ac:dyDescent="0.2">
      <c r="A46" s="2"/>
      <c r="B46" s="2"/>
      <c r="C46" s="3"/>
      <c r="D46" s="4"/>
      <c r="E46" s="4"/>
      <c r="F46" s="4"/>
      <c r="G46" s="4"/>
      <c r="H46" s="4"/>
      <c r="I46" s="4"/>
      <c r="J46" s="4"/>
      <c r="K46" s="4"/>
      <c r="L46" s="4"/>
      <c r="M46" s="4"/>
      <c r="N46" s="4"/>
      <c r="O46" s="4"/>
      <c r="P46" s="4"/>
      <c r="Q46" s="4"/>
      <c r="R46" s="4"/>
    </row>
    <row r="47" spans="1:18" ht="14.25" customHeight="1" x14ac:dyDescent="0.2">
      <c r="A47" s="2"/>
      <c r="B47" s="2"/>
      <c r="C47" s="3"/>
      <c r="D47" s="4"/>
      <c r="E47" s="4"/>
      <c r="F47" s="17" t="s">
        <v>964</v>
      </c>
      <c r="G47" s="17"/>
      <c r="H47" s="4"/>
      <c r="I47" s="4"/>
      <c r="J47" s="4"/>
      <c r="K47" s="4"/>
      <c r="L47" s="4"/>
      <c r="M47" s="4"/>
      <c r="N47" s="4"/>
      <c r="O47" s="4"/>
      <c r="P47" s="613" t="s">
        <v>388</v>
      </c>
      <c r="Q47" s="613"/>
      <c r="R47" s="4"/>
    </row>
    <row r="48" spans="1:18" ht="14.25" customHeight="1" x14ac:dyDescent="0.2">
      <c r="A48" s="2"/>
      <c r="B48" s="2"/>
      <c r="C48" s="3"/>
      <c r="D48" s="4"/>
      <c r="E48" s="4"/>
      <c r="F48" s="317">
        <v>2</v>
      </c>
      <c r="G48" s="317" t="s">
        <v>965</v>
      </c>
      <c r="H48" s="427" t="str">
        <f>IF(P47="Potencia Refrigerativa","Potencia BTU/h",(IF(P47="Área a acondicionar","Área m2","Escoja el dato de entrada")))</f>
        <v>Potencia BTU/h</v>
      </c>
      <c r="I48" s="4"/>
      <c r="J48" s="4"/>
      <c r="K48" s="4"/>
      <c r="L48" s="4"/>
      <c r="M48" s="4"/>
      <c r="N48" s="4"/>
      <c r="O48" s="4"/>
      <c r="P48" s="614">
        <v>15</v>
      </c>
      <c r="Q48" s="615"/>
      <c r="R48" s="4"/>
    </row>
    <row r="49" spans="1:18" ht="14.25" customHeight="1" x14ac:dyDescent="0.2">
      <c r="A49" s="2"/>
      <c r="B49" s="2"/>
      <c r="C49" s="3"/>
      <c r="D49" s="4"/>
      <c r="E49" s="4"/>
      <c r="F49" s="17" t="s">
        <v>966</v>
      </c>
      <c r="G49" s="17"/>
      <c r="H49" s="4"/>
      <c r="I49" s="4"/>
      <c r="J49" s="4"/>
      <c r="K49" s="4"/>
      <c r="L49" s="4"/>
      <c r="M49" s="4"/>
      <c r="N49" s="4"/>
      <c r="O49" s="4"/>
      <c r="P49" s="613" t="s">
        <v>23</v>
      </c>
      <c r="Q49" s="613"/>
      <c r="R49" s="4"/>
    </row>
    <row r="50" spans="1:18" ht="14.25" customHeight="1" x14ac:dyDescent="0.2">
      <c r="A50" s="2"/>
      <c r="B50" s="2"/>
      <c r="C50" s="3"/>
      <c r="D50" s="4"/>
      <c r="E50" s="4"/>
      <c r="F50" s="17" t="s">
        <v>1089</v>
      </c>
      <c r="G50" s="17"/>
      <c r="H50" s="4"/>
      <c r="I50" s="4"/>
      <c r="J50" s="4"/>
      <c r="K50" s="4"/>
      <c r="L50" s="4"/>
      <c r="M50" s="4"/>
      <c r="N50" s="4"/>
      <c r="O50" s="4"/>
      <c r="P50" s="533" t="s">
        <v>26</v>
      </c>
      <c r="Q50" s="324" t="s">
        <v>29</v>
      </c>
      <c r="R50" s="4"/>
    </row>
    <row r="51" spans="1:18" ht="14.25" customHeight="1" x14ac:dyDescent="0.2">
      <c r="A51" s="2"/>
      <c r="B51" s="2"/>
      <c r="C51" s="3"/>
      <c r="D51" s="4"/>
      <c r="E51" s="4"/>
      <c r="F51" s="13"/>
      <c r="G51" s="13"/>
      <c r="H51" s="13"/>
      <c r="I51" s="13"/>
      <c r="J51" s="13"/>
      <c r="K51" s="13"/>
      <c r="L51" s="13"/>
      <c r="M51" s="13"/>
      <c r="N51" s="13"/>
      <c r="O51" s="13"/>
      <c r="P51" s="13"/>
      <c r="Q51" s="4"/>
      <c r="R51" s="4"/>
    </row>
    <row r="52" spans="1:18" ht="14.25" customHeight="1" x14ac:dyDescent="0.2">
      <c r="A52" s="2"/>
      <c r="B52" s="2"/>
      <c r="C52" s="3"/>
      <c r="D52" s="4"/>
      <c r="E52" s="4"/>
      <c r="F52" s="609" t="s">
        <v>968</v>
      </c>
      <c r="G52" s="609"/>
      <c r="H52" s="609"/>
      <c r="I52" s="609"/>
      <c r="J52" s="609"/>
      <c r="K52" s="609"/>
      <c r="L52" s="609"/>
      <c r="M52" s="609"/>
      <c r="N52" s="609"/>
      <c r="O52" s="609"/>
      <c r="P52" s="609"/>
      <c r="Q52" s="609"/>
      <c r="R52" s="4"/>
    </row>
    <row r="53" spans="1:18" ht="14.25" customHeight="1" x14ac:dyDescent="0.2">
      <c r="A53" s="2"/>
      <c r="B53" s="2"/>
      <c r="C53" s="3"/>
      <c r="D53" s="4"/>
      <c r="E53" s="4"/>
      <c r="F53" s="13"/>
      <c r="G53" s="13"/>
      <c r="H53" s="13"/>
      <c r="I53" s="13"/>
      <c r="J53" s="13"/>
      <c r="K53" s="13"/>
      <c r="L53" s="13"/>
      <c r="M53" s="13"/>
      <c r="N53" s="13"/>
      <c r="O53" s="13"/>
      <c r="P53" s="13"/>
      <c r="Q53" s="4"/>
      <c r="R53" s="4"/>
    </row>
    <row r="54" spans="1:18" ht="14.25" customHeight="1" x14ac:dyDescent="0.2">
      <c r="A54" s="2"/>
      <c r="B54" s="2"/>
      <c r="C54" s="3"/>
      <c r="D54" s="4"/>
      <c r="E54" s="4"/>
      <c r="F54" s="601" t="s">
        <v>36</v>
      </c>
      <c r="G54" s="601"/>
      <c r="H54" s="601"/>
      <c r="I54" s="601"/>
      <c r="J54" s="601"/>
      <c r="K54" s="601"/>
      <c r="L54" s="601"/>
      <c r="M54" s="601"/>
      <c r="N54" s="601"/>
      <c r="O54" s="601"/>
      <c r="P54" s="601"/>
      <c r="Q54" s="601"/>
      <c r="R54" s="4"/>
    </row>
    <row r="55" spans="1:18" ht="14.25" customHeight="1" x14ac:dyDescent="0.2">
      <c r="A55" s="2"/>
      <c r="B55" s="2"/>
      <c r="C55" s="3"/>
      <c r="D55" s="4"/>
      <c r="E55" s="4"/>
      <c r="F55" s="4"/>
      <c r="G55" s="4"/>
      <c r="H55" s="4"/>
      <c r="I55" s="4"/>
      <c r="J55" s="4"/>
      <c r="K55" s="4"/>
      <c r="L55" s="13"/>
      <c r="M55" s="13"/>
      <c r="N55" s="13"/>
      <c r="O55" s="13"/>
      <c r="P55" s="13"/>
      <c r="Q55" s="4"/>
      <c r="R55" s="4"/>
    </row>
    <row r="56" spans="1:18" ht="14.25" customHeight="1" x14ac:dyDescent="0.2">
      <c r="A56" s="2"/>
      <c r="B56" s="2"/>
      <c r="C56" s="3"/>
      <c r="D56" s="4"/>
      <c r="E56" s="4"/>
      <c r="F56" s="17" t="s">
        <v>40</v>
      </c>
      <c r="G56" s="17"/>
      <c r="H56" s="17"/>
      <c r="I56" s="17"/>
      <c r="J56" s="19">
        <f>'Datos Eff Energ'!H54</f>
        <v>1.8081499335565718E-4</v>
      </c>
      <c r="K56" s="177" t="s">
        <v>39</v>
      </c>
      <c r="L56" s="13"/>
      <c r="M56" s="13"/>
      <c r="N56" s="13"/>
      <c r="O56" s="13"/>
      <c r="P56" s="13"/>
      <c r="Q56" s="4"/>
      <c r="R56" s="4"/>
    </row>
    <row r="57" spans="1:18" ht="14.25" customHeight="1" thickBot="1" x14ac:dyDescent="0.25">
      <c r="A57" s="2"/>
      <c r="B57" s="2"/>
      <c r="C57" s="3"/>
      <c r="D57" s="4"/>
      <c r="E57" s="4"/>
      <c r="F57" s="13"/>
      <c r="G57" s="13"/>
      <c r="H57" s="13"/>
      <c r="I57" s="13"/>
      <c r="J57" s="13"/>
      <c r="K57" s="13"/>
      <c r="L57" s="13"/>
      <c r="M57" s="13"/>
      <c r="N57" s="13"/>
      <c r="O57" s="13"/>
      <c r="P57" s="13"/>
      <c r="Q57" s="4"/>
      <c r="R57" s="4"/>
    </row>
    <row r="58" spans="1:18" ht="14.25" customHeight="1" x14ac:dyDescent="0.2">
      <c r="A58" s="2"/>
      <c r="B58" s="2"/>
      <c r="C58" s="3"/>
      <c r="D58" s="4"/>
      <c r="E58" s="4"/>
      <c r="F58" s="329"/>
      <c r="G58" s="330"/>
      <c r="H58" s="330"/>
      <c r="I58" s="330"/>
      <c r="J58" s="330"/>
      <c r="K58" s="325"/>
      <c r="L58" s="13"/>
      <c r="M58" s="13"/>
      <c r="N58" s="13"/>
      <c r="O58" s="13"/>
      <c r="P58" s="13"/>
      <c r="Q58" s="4"/>
      <c r="R58" s="4"/>
    </row>
    <row r="59" spans="1:18" ht="14.25" customHeight="1" x14ac:dyDescent="0.2">
      <c r="A59" s="2"/>
      <c r="B59" s="2"/>
      <c r="C59" s="3"/>
      <c r="D59" s="4"/>
      <c r="E59" s="4"/>
      <c r="F59" s="331"/>
      <c r="G59" s="332"/>
      <c r="H59" s="332"/>
      <c r="I59" s="333" t="s">
        <v>691</v>
      </c>
      <c r="J59" s="333"/>
      <c r="K59" s="326"/>
      <c r="L59" s="13"/>
      <c r="M59" s="13"/>
      <c r="N59" s="13"/>
      <c r="O59" s="13"/>
      <c r="P59" s="13"/>
      <c r="Q59" s="4"/>
      <c r="R59" s="4"/>
    </row>
    <row r="60" spans="1:18" ht="14.25" customHeight="1" x14ac:dyDescent="0.2">
      <c r="A60" s="2"/>
      <c r="B60" s="2"/>
      <c r="C60" s="3"/>
      <c r="D60" s="4"/>
      <c r="E60" s="4"/>
      <c r="F60" s="331"/>
      <c r="G60" s="332"/>
      <c r="H60" s="332"/>
      <c r="I60" s="333" t="s">
        <v>692</v>
      </c>
      <c r="J60" s="333"/>
      <c r="K60" s="326"/>
      <c r="L60" s="13"/>
      <c r="M60" s="13"/>
      <c r="N60" s="13"/>
      <c r="O60" s="13"/>
      <c r="P60" s="13"/>
      <c r="Q60" s="4"/>
      <c r="R60" s="4"/>
    </row>
    <row r="61" spans="1:18" ht="14.25" customHeight="1" x14ac:dyDescent="0.2">
      <c r="A61" s="2"/>
      <c r="B61" s="2"/>
      <c r="C61" s="3"/>
      <c r="D61" s="4"/>
      <c r="E61" s="4"/>
      <c r="F61" s="331"/>
      <c r="G61" s="332"/>
      <c r="H61" s="332"/>
      <c r="I61" s="332"/>
      <c r="J61" s="37"/>
      <c r="K61" s="327"/>
      <c r="L61" s="13"/>
      <c r="M61" s="13"/>
      <c r="N61" s="13"/>
      <c r="O61" s="13"/>
      <c r="P61" s="13"/>
      <c r="Q61" s="4"/>
      <c r="R61" s="4"/>
    </row>
    <row r="62" spans="1:18" ht="14.25" customHeight="1" x14ac:dyDescent="0.2">
      <c r="A62" s="2"/>
      <c r="B62" s="2"/>
      <c r="C62" s="3"/>
      <c r="D62" s="4"/>
      <c r="E62" s="4"/>
      <c r="F62" s="331"/>
      <c r="G62" s="332"/>
      <c r="H62" s="332"/>
      <c r="I62" s="603">
        <f>ROUND(16.4*$J$56,0)</f>
        <v>0</v>
      </c>
      <c r="J62" s="603"/>
      <c r="K62" s="604" t="s">
        <v>690</v>
      </c>
      <c r="L62" s="13"/>
      <c r="M62" s="13"/>
      <c r="N62" s="13"/>
      <c r="O62" s="13"/>
      <c r="P62" s="13"/>
      <c r="Q62" s="4"/>
      <c r="R62" s="4"/>
    </row>
    <row r="63" spans="1:18" ht="14.25" customHeight="1" x14ac:dyDescent="0.2">
      <c r="A63" s="2"/>
      <c r="B63" s="2"/>
      <c r="C63" s="3"/>
      <c r="D63" s="4"/>
      <c r="E63" s="4"/>
      <c r="F63" s="331"/>
      <c r="G63" s="332"/>
      <c r="H63" s="332"/>
      <c r="I63" s="603"/>
      <c r="J63" s="603"/>
      <c r="K63" s="604"/>
      <c r="L63" s="13"/>
      <c r="M63" s="13"/>
      <c r="N63" s="13"/>
      <c r="O63" s="13"/>
      <c r="P63" s="13"/>
      <c r="Q63" s="4"/>
      <c r="R63" s="4"/>
    </row>
    <row r="64" spans="1:18" ht="14.25" customHeight="1" thickBot="1" x14ac:dyDescent="0.25">
      <c r="A64" s="2"/>
      <c r="B64" s="2"/>
      <c r="C64" s="3"/>
      <c r="D64" s="4"/>
      <c r="E64" s="4"/>
      <c r="F64" s="334"/>
      <c r="G64" s="335"/>
      <c r="H64" s="335"/>
      <c r="I64" s="335"/>
      <c r="J64" s="335"/>
      <c r="K64" s="328"/>
      <c r="L64" s="13"/>
      <c r="M64" s="13"/>
      <c r="N64" s="13"/>
      <c r="O64" s="13"/>
      <c r="P64" s="13"/>
      <c r="Q64" s="4"/>
      <c r="R64" s="4"/>
    </row>
    <row r="65" spans="1:18" ht="14.25" customHeight="1" x14ac:dyDescent="0.2">
      <c r="A65" s="2"/>
      <c r="B65" s="2"/>
      <c r="C65" s="3"/>
      <c r="D65" s="4"/>
      <c r="E65" s="4"/>
      <c r="F65" s="13"/>
      <c r="G65" s="13"/>
      <c r="H65" s="13"/>
      <c r="I65" s="13"/>
      <c r="J65" s="13"/>
      <c r="K65" s="13"/>
      <c r="L65" s="13"/>
      <c r="M65" s="13"/>
      <c r="N65" s="13"/>
      <c r="O65" s="13"/>
      <c r="P65" s="13"/>
      <c r="Q65" s="4"/>
      <c r="R65" s="4"/>
    </row>
    <row r="66" spans="1:18" x14ac:dyDescent="0.2">
      <c r="A66" s="2"/>
      <c r="B66" s="2"/>
      <c r="C66" s="3"/>
      <c r="D66" s="4"/>
      <c r="E66" s="4"/>
      <c r="F66" s="4"/>
      <c r="G66" s="4"/>
      <c r="H66" s="4"/>
      <c r="I66" s="4"/>
      <c r="J66" s="4"/>
      <c r="K66" s="4"/>
      <c r="L66" s="4"/>
      <c r="M66" s="4"/>
      <c r="N66" s="4"/>
      <c r="O66" s="4"/>
      <c r="P66" s="4"/>
      <c r="Q66" s="4"/>
      <c r="R66" s="4"/>
    </row>
    <row r="67" spans="1:18" ht="20.100000000000001" customHeight="1" x14ac:dyDescent="0.2">
      <c r="A67" s="2"/>
      <c r="B67" s="2"/>
      <c r="C67" s="3"/>
      <c r="D67" s="4"/>
      <c r="E67" s="616" t="s">
        <v>47</v>
      </c>
      <c r="F67" s="617" t="s">
        <v>2</v>
      </c>
      <c r="G67" s="617"/>
      <c r="H67" s="617"/>
      <c r="I67" s="617"/>
      <c r="J67" s="617"/>
      <c r="K67" s="618" t="s">
        <v>452</v>
      </c>
      <c r="L67" s="618"/>
      <c r="M67" s="618"/>
      <c r="N67" s="618"/>
      <c r="O67" s="618"/>
      <c r="P67" s="618"/>
      <c r="Q67" s="618"/>
      <c r="R67" s="4"/>
    </row>
    <row r="68" spans="1:18" ht="20.100000000000001" customHeight="1" x14ac:dyDescent="0.2">
      <c r="A68" s="2"/>
      <c r="B68" s="2"/>
      <c r="C68" s="3"/>
      <c r="D68" s="4"/>
      <c r="E68" s="616"/>
      <c r="F68" s="617" t="s">
        <v>3</v>
      </c>
      <c r="G68" s="617"/>
      <c r="H68" s="617"/>
      <c r="I68" s="617"/>
      <c r="J68" s="617"/>
      <c r="K68" s="618" t="s">
        <v>1083</v>
      </c>
      <c r="L68" s="618"/>
      <c r="M68" s="618"/>
      <c r="N68" s="618"/>
      <c r="O68" s="618"/>
      <c r="P68" s="618"/>
      <c r="Q68" s="618"/>
      <c r="R68" s="4"/>
    </row>
    <row r="69" spans="1:18" ht="39.950000000000003" customHeight="1" x14ac:dyDescent="0.2">
      <c r="A69" s="2"/>
      <c r="B69" s="2"/>
      <c r="C69" s="3"/>
      <c r="D69" s="4"/>
      <c r="E69" s="4"/>
      <c r="F69" s="611" t="s">
        <v>50</v>
      </c>
      <c r="G69" s="611"/>
      <c r="H69" s="611"/>
      <c r="I69" s="611"/>
      <c r="J69" s="611"/>
      <c r="K69" s="605" t="s">
        <v>837</v>
      </c>
      <c r="L69" s="606"/>
      <c r="M69" s="606"/>
      <c r="N69" s="606"/>
      <c r="O69" s="606"/>
      <c r="P69" s="606"/>
      <c r="Q69" s="606"/>
      <c r="R69" s="4"/>
    </row>
    <row r="70" spans="1:18" ht="14.25" customHeight="1" x14ac:dyDescent="0.2">
      <c r="A70" s="2"/>
      <c r="B70" s="2"/>
      <c r="C70" s="3"/>
      <c r="D70" s="4"/>
      <c r="E70" s="4"/>
      <c r="F70" s="4"/>
      <c r="G70" s="4"/>
      <c r="H70" s="4"/>
      <c r="I70" s="4"/>
      <c r="J70" s="4"/>
      <c r="K70" s="4"/>
      <c r="L70" s="4"/>
      <c r="M70" s="4"/>
      <c r="N70" s="4"/>
      <c r="O70" s="4"/>
      <c r="P70" s="4"/>
      <c r="Q70" s="4"/>
      <c r="R70" s="4"/>
    </row>
    <row r="71" spans="1:18" ht="14.1" customHeight="1" x14ac:dyDescent="0.2">
      <c r="A71" s="2"/>
      <c r="B71" s="2"/>
      <c r="C71" s="3"/>
      <c r="D71" s="4"/>
      <c r="E71" s="4"/>
      <c r="F71" s="610" t="s">
        <v>857</v>
      </c>
      <c r="G71" s="610"/>
      <c r="H71" s="323"/>
      <c r="I71" s="612" t="s">
        <v>858</v>
      </c>
      <c r="J71" s="612"/>
      <c r="K71" s="612"/>
      <c r="L71" s="4"/>
      <c r="M71" s="4"/>
      <c r="N71" s="4"/>
      <c r="O71" s="4"/>
      <c r="P71" s="4"/>
      <c r="Q71" s="4"/>
      <c r="R71" s="4"/>
    </row>
    <row r="72" spans="1:18" ht="8.1" customHeight="1" x14ac:dyDescent="0.2">
      <c r="A72" s="2"/>
      <c r="B72" s="2"/>
      <c r="C72" s="3"/>
      <c r="D72" s="4"/>
      <c r="E72" s="4"/>
      <c r="F72" s="610"/>
      <c r="G72" s="610"/>
      <c r="H72" s="323"/>
      <c r="I72" s="612"/>
      <c r="J72" s="612"/>
      <c r="K72" s="612"/>
      <c r="L72" s="4"/>
      <c r="M72" s="4"/>
      <c r="N72" s="4"/>
      <c r="O72" s="4"/>
      <c r="P72" s="4"/>
      <c r="Q72" s="4"/>
      <c r="R72" s="4"/>
    </row>
    <row r="73" spans="1:18" x14ac:dyDescent="0.2">
      <c r="A73" s="2"/>
      <c r="B73" s="2"/>
      <c r="C73" s="3"/>
      <c r="D73" s="4"/>
      <c r="E73" s="4"/>
      <c r="F73" s="610"/>
      <c r="G73" s="610"/>
      <c r="H73" s="323"/>
      <c r="I73" s="612"/>
      <c r="J73" s="612"/>
      <c r="K73" s="612"/>
      <c r="L73" s="4"/>
      <c r="M73" s="4"/>
      <c r="N73" s="4"/>
      <c r="O73" s="4"/>
      <c r="P73" s="4"/>
      <c r="Q73" s="4"/>
      <c r="R73" s="4"/>
    </row>
    <row r="74" spans="1:18" x14ac:dyDescent="0.2">
      <c r="A74" s="2"/>
      <c r="B74" s="2"/>
      <c r="C74" s="3"/>
      <c r="D74" s="4"/>
      <c r="E74" s="4"/>
      <c r="F74" s="4"/>
      <c r="G74" s="4"/>
      <c r="H74" s="4"/>
      <c r="I74" s="4"/>
      <c r="J74" s="4"/>
      <c r="K74" s="4"/>
      <c r="L74" s="4"/>
      <c r="M74" s="4"/>
      <c r="N74" s="4"/>
      <c r="O74" s="4"/>
      <c r="P74" s="4"/>
      <c r="Q74" s="4"/>
      <c r="R74" s="4"/>
    </row>
    <row r="75" spans="1:18" ht="15" x14ac:dyDescent="0.2">
      <c r="A75" s="2"/>
      <c r="B75" s="2"/>
      <c r="C75" s="3"/>
      <c r="D75" s="4"/>
      <c r="E75" s="4"/>
      <c r="F75" s="601" t="s">
        <v>20</v>
      </c>
      <c r="G75" s="601"/>
      <c r="H75" s="601"/>
      <c r="I75" s="601"/>
      <c r="J75" s="601"/>
      <c r="K75" s="601"/>
      <c r="L75" s="601"/>
      <c r="M75" s="601"/>
      <c r="N75" s="601"/>
      <c r="O75" s="601"/>
      <c r="P75" s="601"/>
      <c r="Q75" s="601"/>
      <c r="R75" s="4"/>
    </row>
    <row r="76" spans="1:18" ht="9.9499999999999993" customHeight="1" x14ac:dyDescent="0.2">
      <c r="A76" s="2"/>
      <c r="B76" s="2"/>
      <c r="C76" s="3"/>
      <c r="D76" s="4"/>
      <c r="E76" s="4"/>
      <c r="F76" s="4"/>
      <c r="G76" s="4"/>
      <c r="H76" s="4"/>
      <c r="I76" s="4"/>
      <c r="J76" s="4"/>
      <c r="K76" s="4"/>
      <c r="L76" s="4"/>
      <c r="M76" s="4"/>
      <c r="N76" s="4"/>
      <c r="O76" s="4"/>
      <c r="P76" s="4"/>
      <c r="Q76" s="4"/>
      <c r="R76" s="4"/>
    </row>
    <row r="77" spans="1:18" x14ac:dyDescent="0.2">
      <c r="A77" s="2"/>
      <c r="B77" s="2"/>
      <c r="C77" s="3"/>
      <c r="D77" s="4"/>
      <c r="E77" s="4"/>
      <c r="F77" s="17" t="s">
        <v>964</v>
      </c>
      <c r="G77" s="17"/>
      <c r="H77" s="4"/>
      <c r="I77" s="4"/>
      <c r="J77" s="4"/>
      <c r="K77" s="4"/>
      <c r="L77" s="4"/>
      <c r="M77" s="4"/>
      <c r="N77" s="4"/>
      <c r="O77" s="4"/>
      <c r="P77" s="587" t="s">
        <v>808</v>
      </c>
      <c r="Q77" s="620"/>
      <c r="R77" s="4"/>
    </row>
    <row r="78" spans="1:18" x14ac:dyDescent="0.2">
      <c r="A78" s="2"/>
      <c r="B78" s="2"/>
      <c r="C78" s="3"/>
      <c r="D78" s="4"/>
      <c r="E78" s="4"/>
      <c r="F78" s="317" t="s">
        <v>969</v>
      </c>
      <c r="G78" s="317"/>
      <c r="H78" s="427"/>
      <c r="I78" s="4"/>
      <c r="J78" s="4"/>
      <c r="K78" s="4"/>
      <c r="L78" s="4"/>
      <c r="M78" s="4"/>
      <c r="N78" s="4"/>
      <c r="O78" s="4"/>
      <c r="P78" s="531">
        <v>1000</v>
      </c>
      <c r="Q78" s="324" t="str">
        <f>IF(P77="Volumen en litros","litros",IF(P77="Volumen en pies cúbicos","pies3",""))</f>
        <v/>
      </c>
      <c r="R78" s="4"/>
    </row>
    <row r="79" spans="1:18" x14ac:dyDescent="0.2">
      <c r="A79" s="2"/>
      <c r="B79" s="2"/>
      <c r="C79" s="3"/>
      <c r="D79" s="4"/>
      <c r="E79" s="4"/>
      <c r="F79" s="17" t="s">
        <v>966</v>
      </c>
      <c r="G79" s="17"/>
      <c r="H79" s="4"/>
      <c r="I79" s="4"/>
      <c r="J79" s="4"/>
      <c r="K79" s="4"/>
      <c r="L79" s="4"/>
      <c r="M79" s="4"/>
      <c r="N79" s="4"/>
      <c r="O79" s="4"/>
      <c r="P79" s="602" t="s">
        <v>23</v>
      </c>
      <c r="Q79" s="587"/>
      <c r="R79" s="4"/>
    </row>
    <row r="80" spans="1:18" x14ac:dyDescent="0.2">
      <c r="A80" s="2"/>
      <c r="B80" s="2"/>
      <c r="C80" s="3"/>
      <c r="D80" s="4"/>
      <c r="E80" s="4"/>
      <c r="F80" s="17"/>
      <c r="G80" s="17"/>
      <c r="H80" s="4"/>
      <c r="I80" s="4"/>
      <c r="J80" s="4"/>
      <c r="K80" s="4"/>
      <c r="L80" s="4"/>
      <c r="M80" s="4"/>
      <c r="N80" s="4"/>
      <c r="O80" s="4"/>
      <c r="P80" s="4"/>
      <c r="Q80" s="4"/>
      <c r="R80" s="4"/>
    </row>
    <row r="81" spans="1:18" x14ac:dyDescent="0.2">
      <c r="A81" s="2"/>
      <c r="B81" s="2"/>
      <c r="C81" s="3"/>
      <c r="D81" s="4"/>
      <c r="E81" s="4"/>
      <c r="F81" s="17"/>
      <c r="G81" s="17" t="s">
        <v>1082</v>
      </c>
      <c r="H81" s="4"/>
      <c r="I81" s="4"/>
      <c r="J81" s="4"/>
      <c r="K81" s="4"/>
      <c r="L81" s="4"/>
      <c r="M81" s="4"/>
      <c r="N81" s="4"/>
      <c r="O81" s="4"/>
      <c r="P81" s="531"/>
      <c r="Q81" s="324" t="s">
        <v>1028</v>
      </c>
      <c r="R81" s="4"/>
    </row>
    <row r="82" spans="1:18" x14ac:dyDescent="0.2">
      <c r="A82" s="2"/>
      <c r="B82" s="2"/>
      <c r="C82" s="3"/>
      <c r="D82" s="4"/>
      <c r="E82" s="4"/>
      <c r="F82" s="17"/>
      <c r="G82" s="17" t="s">
        <v>1081</v>
      </c>
      <c r="H82" s="4"/>
      <c r="I82" s="4"/>
      <c r="J82" s="4"/>
      <c r="K82" s="4"/>
      <c r="L82" s="4"/>
      <c r="M82" s="4"/>
      <c r="N82" s="4"/>
      <c r="O82" s="4"/>
      <c r="P82" s="531"/>
      <c r="Q82" s="324" t="s">
        <v>1028</v>
      </c>
      <c r="R82" s="4"/>
    </row>
    <row r="83" spans="1:18" x14ac:dyDescent="0.2">
      <c r="A83" s="2"/>
      <c r="B83" s="2"/>
      <c r="C83" s="3"/>
      <c r="D83" s="4"/>
      <c r="E83" s="4"/>
      <c r="F83" s="4"/>
      <c r="G83" s="4"/>
      <c r="H83" s="4"/>
      <c r="I83" s="4"/>
      <c r="J83" s="4"/>
      <c r="K83" s="4"/>
      <c r="L83" s="4"/>
      <c r="M83" s="4"/>
      <c r="N83" s="4"/>
      <c r="O83" s="4"/>
      <c r="P83" s="4"/>
      <c r="Q83" s="4"/>
      <c r="R83" s="4"/>
    </row>
    <row r="84" spans="1:18" ht="15" x14ac:dyDescent="0.2">
      <c r="A84" s="2"/>
      <c r="B84" s="2"/>
      <c r="C84" s="3"/>
      <c r="D84" s="4"/>
      <c r="E84" s="4"/>
      <c r="F84" s="601" t="s">
        <v>36</v>
      </c>
      <c r="G84" s="601"/>
      <c r="H84" s="601"/>
      <c r="I84" s="601"/>
      <c r="J84" s="601"/>
      <c r="K84" s="601"/>
      <c r="L84" s="601"/>
      <c r="M84" s="601"/>
      <c r="N84" s="601"/>
      <c r="O84" s="601"/>
      <c r="P84" s="601"/>
      <c r="Q84" s="601"/>
      <c r="R84" s="4"/>
    </row>
    <row r="85" spans="1:18" x14ac:dyDescent="0.2">
      <c r="A85" s="2"/>
      <c r="B85" s="2"/>
      <c r="C85" s="3"/>
      <c r="D85" s="4"/>
      <c r="E85" s="4"/>
      <c r="F85" s="4"/>
      <c r="G85" s="4"/>
      <c r="H85" s="4"/>
      <c r="I85" s="4"/>
      <c r="J85" s="4"/>
      <c r="K85" s="4"/>
      <c r="L85" s="4"/>
      <c r="M85" s="4"/>
      <c r="N85" s="4"/>
      <c r="O85" s="4"/>
      <c r="P85" s="4"/>
      <c r="Q85" s="4"/>
      <c r="R85" s="4"/>
    </row>
    <row r="86" spans="1:18" x14ac:dyDescent="0.2">
      <c r="A86" s="2"/>
      <c r="B86" s="2"/>
      <c r="C86" s="3"/>
      <c r="D86" s="4"/>
      <c r="E86" s="4"/>
      <c r="F86" s="17" t="s">
        <v>40</v>
      </c>
      <c r="G86" s="17"/>
      <c r="H86" s="17"/>
      <c r="I86" s="17"/>
      <c r="J86" s="19">
        <f>'Datos Eff Energ'!H116</f>
        <v>2.9270136000000002E-2</v>
      </c>
      <c r="K86" s="324" t="s">
        <v>39</v>
      </c>
      <c r="L86" s="4"/>
      <c r="M86" s="4"/>
      <c r="N86" s="4"/>
      <c r="O86" s="4"/>
      <c r="P86" s="4"/>
      <c r="Q86" s="4"/>
      <c r="R86" s="4"/>
    </row>
    <row r="87" spans="1:18" ht="15" thickBot="1" x14ac:dyDescent="0.25">
      <c r="A87" s="2"/>
      <c r="B87" s="2"/>
      <c r="C87" s="3"/>
      <c r="D87" s="4"/>
      <c r="E87" s="4"/>
      <c r="F87" s="4"/>
      <c r="G87" s="4"/>
      <c r="H87" s="4"/>
      <c r="I87" s="4"/>
      <c r="J87" s="4"/>
      <c r="K87" s="4"/>
      <c r="L87" s="4"/>
      <c r="M87" s="4"/>
      <c r="N87" s="4"/>
      <c r="O87" s="4"/>
      <c r="P87" s="4"/>
      <c r="Q87" s="4"/>
      <c r="R87" s="4"/>
    </row>
    <row r="88" spans="1:18" x14ac:dyDescent="0.2">
      <c r="A88" s="2"/>
      <c r="B88" s="2"/>
      <c r="C88" s="3"/>
      <c r="D88" s="4"/>
      <c r="E88" s="4"/>
      <c r="F88" s="329"/>
      <c r="G88" s="330"/>
      <c r="H88" s="330"/>
      <c r="I88" s="330"/>
      <c r="J88" s="330"/>
      <c r="K88" s="325"/>
      <c r="L88" s="4"/>
      <c r="M88" s="4"/>
      <c r="N88" s="4"/>
      <c r="O88" s="4"/>
      <c r="P88" s="4"/>
      <c r="Q88" s="4"/>
      <c r="R88" s="4"/>
    </row>
    <row r="89" spans="1:18" x14ac:dyDescent="0.2">
      <c r="A89" s="2"/>
      <c r="B89" s="2"/>
      <c r="C89" s="3"/>
      <c r="D89" s="4"/>
      <c r="E89" s="4"/>
      <c r="F89" s="331"/>
      <c r="G89" s="332"/>
      <c r="H89" s="332"/>
      <c r="I89" s="333" t="s">
        <v>691</v>
      </c>
      <c r="J89" s="333"/>
      <c r="K89" s="326"/>
      <c r="L89" s="4"/>
      <c r="M89" s="4"/>
      <c r="N89" s="4"/>
      <c r="O89" s="4"/>
      <c r="P89" s="4"/>
      <c r="Q89" s="4"/>
      <c r="R89" s="4"/>
    </row>
    <row r="90" spans="1:18" x14ac:dyDescent="0.2">
      <c r="A90" s="2"/>
      <c r="B90" s="2"/>
      <c r="C90" s="3"/>
      <c r="D90" s="4"/>
      <c r="E90" s="4"/>
      <c r="F90" s="331"/>
      <c r="G90" s="332"/>
      <c r="H90" s="332"/>
      <c r="I90" s="333" t="s">
        <v>692</v>
      </c>
      <c r="J90" s="333"/>
      <c r="K90" s="326"/>
      <c r="L90" s="4"/>
      <c r="M90" s="4"/>
      <c r="N90" s="4"/>
      <c r="O90" s="4"/>
      <c r="P90" s="4"/>
      <c r="Q90" s="4"/>
      <c r="R90" s="4"/>
    </row>
    <row r="91" spans="1:18" x14ac:dyDescent="0.2">
      <c r="A91" s="2"/>
      <c r="B91" s="2"/>
      <c r="C91" s="3"/>
      <c r="D91" s="4"/>
      <c r="E91" s="4"/>
      <c r="F91" s="331"/>
      <c r="G91" s="332"/>
      <c r="H91" s="332"/>
      <c r="I91" s="332"/>
      <c r="J91" s="37"/>
      <c r="K91" s="327"/>
      <c r="L91" s="4"/>
      <c r="M91" s="4"/>
      <c r="N91" s="4"/>
      <c r="O91" s="4"/>
      <c r="P91" s="4"/>
      <c r="Q91" s="4"/>
      <c r="R91" s="4"/>
    </row>
    <row r="92" spans="1:18" x14ac:dyDescent="0.2">
      <c r="A92" s="2"/>
      <c r="B92" s="2"/>
      <c r="C92" s="3"/>
      <c r="D92" s="4"/>
      <c r="E92" s="4"/>
      <c r="F92" s="331"/>
      <c r="G92" s="332"/>
      <c r="H92" s="332"/>
      <c r="I92" s="603">
        <f>ROUND(16.4*$J$86,0)</f>
        <v>0</v>
      </c>
      <c r="J92" s="603"/>
      <c r="K92" s="604" t="s">
        <v>690</v>
      </c>
      <c r="L92" s="4"/>
      <c r="M92" s="4"/>
      <c r="N92" s="4"/>
      <c r="O92" s="4"/>
      <c r="P92" s="4"/>
      <c r="Q92" s="4"/>
      <c r="R92" s="4"/>
    </row>
    <row r="93" spans="1:18" x14ac:dyDescent="0.2">
      <c r="A93" s="2"/>
      <c r="B93" s="2"/>
      <c r="C93" s="3"/>
      <c r="D93" s="4"/>
      <c r="E93" s="4"/>
      <c r="F93" s="331"/>
      <c r="G93" s="332"/>
      <c r="H93" s="332"/>
      <c r="I93" s="603"/>
      <c r="J93" s="603"/>
      <c r="K93" s="604"/>
      <c r="L93" s="4"/>
      <c r="M93" s="4"/>
      <c r="N93" s="4"/>
      <c r="O93" s="4"/>
      <c r="P93" s="4"/>
      <c r="Q93" s="4"/>
      <c r="R93" s="4"/>
    </row>
    <row r="94" spans="1:18" ht="15" thickBot="1" x14ac:dyDescent="0.25">
      <c r="A94" s="2"/>
      <c r="B94" s="2"/>
      <c r="C94" s="3"/>
      <c r="D94" s="4"/>
      <c r="E94" s="4"/>
      <c r="F94" s="334"/>
      <c r="G94" s="335"/>
      <c r="H94" s="335"/>
      <c r="I94" s="335"/>
      <c r="J94" s="335"/>
      <c r="K94" s="328"/>
      <c r="L94" s="4"/>
      <c r="M94" s="4"/>
      <c r="N94" s="4"/>
      <c r="O94" s="4"/>
      <c r="P94" s="4"/>
      <c r="Q94" s="4"/>
      <c r="R94" s="4"/>
    </row>
    <row r="95" spans="1:18" ht="15" thickBot="1" x14ac:dyDescent="0.25">
      <c r="A95" s="2"/>
      <c r="B95" s="2"/>
      <c r="C95" s="3"/>
      <c r="D95" s="4"/>
      <c r="E95" s="4"/>
      <c r="F95" s="336"/>
      <c r="G95" s="336"/>
      <c r="H95" s="336"/>
      <c r="I95" s="336"/>
      <c r="J95" s="336"/>
      <c r="K95" s="336"/>
      <c r="L95" s="336"/>
      <c r="M95" s="336"/>
      <c r="N95" s="336"/>
      <c r="O95" s="336"/>
      <c r="P95" s="336"/>
      <c r="Q95" s="336"/>
      <c r="R95" s="4"/>
    </row>
    <row r="96" spans="1:18" ht="15" thickTop="1" x14ac:dyDescent="0.2">
      <c r="A96" s="2"/>
      <c r="B96" s="2"/>
      <c r="C96" s="3"/>
      <c r="D96" s="4"/>
      <c r="E96" s="4"/>
      <c r="F96" s="4"/>
      <c r="G96" s="4"/>
      <c r="H96" s="4"/>
      <c r="I96" s="4"/>
      <c r="J96" s="4"/>
      <c r="K96" s="4"/>
      <c r="L96" s="4"/>
      <c r="M96" s="4"/>
      <c r="N96" s="4"/>
      <c r="O96" s="4"/>
      <c r="P96" s="4"/>
      <c r="Q96" s="4"/>
      <c r="R96" s="4"/>
    </row>
    <row r="97" spans="1:18" x14ac:dyDescent="0.2">
      <c r="A97" s="2"/>
      <c r="B97" s="2"/>
      <c r="C97" s="3"/>
      <c r="D97" s="4"/>
      <c r="E97" s="4"/>
      <c r="F97" s="610" t="s">
        <v>860</v>
      </c>
      <c r="G97" s="610"/>
      <c r="H97" s="323"/>
      <c r="I97" s="612" t="s">
        <v>859</v>
      </c>
      <c r="J97" s="612"/>
      <c r="K97" s="612"/>
      <c r="L97" s="4"/>
      <c r="M97" s="4"/>
      <c r="N97" s="4"/>
      <c r="O97" s="4"/>
      <c r="P97" s="4"/>
      <c r="Q97" s="4"/>
      <c r="R97" s="4"/>
    </row>
    <row r="98" spans="1:18" x14ac:dyDescent="0.2">
      <c r="A98" s="2"/>
      <c r="B98" s="2"/>
      <c r="C98" s="3"/>
      <c r="D98" s="4"/>
      <c r="E98" s="4"/>
      <c r="F98" s="610"/>
      <c r="G98" s="610"/>
      <c r="H98" s="323"/>
      <c r="I98" s="612"/>
      <c r="J98" s="612"/>
      <c r="K98" s="612"/>
      <c r="L98" s="4"/>
      <c r="M98" s="4"/>
      <c r="N98" s="4"/>
      <c r="O98" s="4"/>
      <c r="P98" s="4"/>
      <c r="Q98" s="4"/>
      <c r="R98" s="4"/>
    </row>
    <row r="99" spans="1:18" x14ac:dyDescent="0.2">
      <c r="A99" s="2"/>
      <c r="B99" s="2"/>
      <c r="C99" s="3"/>
      <c r="D99" s="4"/>
      <c r="E99" s="4"/>
      <c r="F99" s="610"/>
      <c r="G99" s="610"/>
      <c r="H99" s="323"/>
      <c r="I99" s="612"/>
      <c r="J99" s="612"/>
      <c r="K99" s="612"/>
      <c r="L99" s="4"/>
      <c r="M99" s="4"/>
      <c r="N99" s="4"/>
      <c r="O99" s="4"/>
      <c r="P99" s="4"/>
      <c r="Q99" s="4"/>
      <c r="R99" s="4"/>
    </row>
    <row r="100" spans="1:18" x14ac:dyDescent="0.2">
      <c r="A100" s="2"/>
      <c r="B100" s="2"/>
      <c r="C100" s="3"/>
      <c r="D100" s="4"/>
      <c r="E100" s="4"/>
      <c r="F100" s="4"/>
      <c r="G100" s="4"/>
      <c r="H100" s="4"/>
      <c r="I100" s="4"/>
      <c r="J100" s="4"/>
      <c r="K100" s="4"/>
      <c r="L100" s="4"/>
      <c r="M100" s="4"/>
      <c r="N100" s="4"/>
      <c r="O100" s="4"/>
      <c r="P100" s="4"/>
      <c r="Q100" s="4"/>
      <c r="R100" s="4"/>
    </row>
    <row r="101" spans="1:18" ht="15" x14ac:dyDescent="0.2">
      <c r="A101" s="2"/>
      <c r="B101" s="2"/>
      <c r="C101" s="3"/>
      <c r="D101" s="4"/>
      <c r="E101" s="4"/>
      <c r="F101" s="601" t="s">
        <v>20</v>
      </c>
      <c r="G101" s="601"/>
      <c r="H101" s="601"/>
      <c r="I101" s="601"/>
      <c r="J101" s="601"/>
      <c r="K101" s="601"/>
      <c r="L101" s="601"/>
      <c r="M101" s="601"/>
      <c r="N101" s="601"/>
      <c r="O101" s="601"/>
      <c r="P101" s="601"/>
      <c r="Q101" s="601"/>
      <c r="R101" s="4"/>
    </row>
    <row r="102" spans="1:18" ht="9.9499999999999993" customHeight="1" x14ac:dyDescent="0.2">
      <c r="A102" s="2"/>
      <c r="B102" s="2"/>
      <c r="C102" s="3"/>
      <c r="D102" s="4"/>
      <c r="E102" s="4"/>
      <c r="F102" s="4"/>
      <c r="G102" s="4"/>
      <c r="H102" s="4"/>
      <c r="I102" s="4"/>
      <c r="J102" s="4"/>
      <c r="K102" s="4"/>
      <c r="L102" s="4"/>
      <c r="M102" s="4"/>
      <c r="N102" s="4"/>
      <c r="O102" s="4"/>
      <c r="P102" s="4"/>
      <c r="Q102" s="4"/>
      <c r="R102" s="4"/>
    </row>
    <row r="103" spans="1:18" x14ac:dyDescent="0.2">
      <c r="A103" s="2"/>
      <c r="B103" s="2"/>
      <c r="C103" s="3"/>
      <c r="D103" s="4"/>
      <c r="E103" s="4"/>
      <c r="F103" s="17" t="s">
        <v>970</v>
      </c>
      <c r="G103" s="4"/>
      <c r="H103" s="4"/>
      <c r="I103" s="4"/>
      <c r="J103" s="4"/>
      <c r="K103" s="4"/>
      <c r="L103" s="4"/>
      <c r="M103" s="4"/>
      <c r="N103" s="4"/>
      <c r="O103" s="4"/>
      <c r="P103" s="535">
        <v>60</v>
      </c>
      <c r="Q103" s="324" t="s">
        <v>839</v>
      </c>
      <c r="R103" s="4"/>
    </row>
    <row r="104" spans="1:18" x14ac:dyDescent="0.2">
      <c r="A104" s="2"/>
      <c r="B104" s="2"/>
      <c r="C104" s="3"/>
      <c r="D104" s="4"/>
      <c r="E104" s="4"/>
      <c r="F104" s="17" t="s">
        <v>971</v>
      </c>
      <c r="G104" s="4"/>
      <c r="H104" s="4"/>
      <c r="I104" s="4"/>
      <c r="J104" s="4"/>
      <c r="K104" s="4"/>
      <c r="L104" s="4"/>
      <c r="M104" s="4"/>
      <c r="N104" s="4"/>
      <c r="O104" s="4"/>
      <c r="P104" s="607" t="s">
        <v>24</v>
      </c>
      <c r="Q104" s="608"/>
      <c r="R104" s="4"/>
    </row>
    <row r="105" spans="1:18" x14ac:dyDescent="0.2">
      <c r="A105" s="2"/>
      <c r="B105" s="2"/>
      <c r="C105" s="3"/>
      <c r="D105" s="4"/>
      <c r="E105" s="4"/>
      <c r="F105" s="4"/>
      <c r="G105" s="4"/>
      <c r="H105" s="4"/>
      <c r="I105" s="4"/>
      <c r="J105" s="4"/>
      <c r="K105" s="4"/>
      <c r="L105" s="4"/>
      <c r="M105" s="4"/>
      <c r="N105" s="4"/>
      <c r="O105" s="4"/>
      <c r="P105" s="4"/>
      <c r="Q105" s="4"/>
      <c r="R105" s="4"/>
    </row>
    <row r="106" spans="1:18" ht="15" x14ac:dyDescent="0.2">
      <c r="A106" s="2"/>
      <c r="B106" s="2"/>
      <c r="C106" s="3"/>
      <c r="D106" s="4"/>
      <c r="E106" s="4"/>
      <c r="F106" s="601" t="s">
        <v>36</v>
      </c>
      <c r="G106" s="601"/>
      <c r="H106" s="601"/>
      <c r="I106" s="601"/>
      <c r="J106" s="601"/>
      <c r="K106" s="601"/>
      <c r="L106" s="601"/>
      <c r="M106" s="601"/>
      <c r="N106" s="601"/>
      <c r="O106" s="601"/>
      <c r="P106" s="601"/>
      <c r="Q106" s="601"/>
      <c r="R106" s="4"/>
    </row>
    <row r="107" spans="1:18" x14ac:dyDescent="0.2">
      <c r="A107" s="2"/>
      <c r="B107" s="2"/>
      <c r="C107" s="3"/>
      <c r="D107" s="4"/>
      <c r="E107" s="4"/>
      <c r="F107" s="4"/>
      <c r="G107" s="4"/>
      <c r="H107" s="4"/>
      <c r="I107" s="4"/>
      <c r="J107" s="4"/>
      <c r="K107" s="4"/>
      <c r="L107" s="4"/>
      <c r="M107" s="4"/>
      <c r="N107" s="4"/>
      <c r="O107" s="4"/>
      <c r="P107" s="4"/>
      <c r="Q107" s="4"/>
      <c r="R107" s="4"/>
    </row>
    <row r="108" spans="1:18" x14ac:dyDescent="0.2">
      <c r="A108" s="2"/>
      <c r="B108" s="2"/>
      <c r="C108" s="3"/>
      <c r="D108" s="4"/>
      <c r="E108" s="4"/>
      <c r="F108" s="17" t="s">
        <v>40</v>
      </c>
      <c r="G108" s="17"/>
      <c r="H108" s="17"/>
      <c r="I108" s="17"/>
      <c r="J108" s="19">
        <f>'Datos Eff Energ'!I136</f>
        <v>3.092200070537186E-2</v>
      </c>
      <c r="K108" s="324" t="s">
        <v>39</v>
      </c>
      <c r="L108" s="4"/>
      <c r="M108" s="4"/>
      <c r="N108" s="4"/>
      <c r="O108" s="4"/>
      <c r="P108" s="4"/>
      <c r="Q108" s="4"/>
      <c r="R108" s="4"/>
    </row>
    <row r="109" spans="1:18" ht="15" thickBot="1" x14ac:dyDescent="0.25">
      <c r="A109" s="2"/>
      <c r="B109" s="2"/>
      <c r="C109" s="3"/>
      <c r="D109" s="4"/>
      <c r="E109" s="4"/>
      <c r="F109" s="4"/>
      <c r="G109" s="4"/>
      <c r="H109" s="4"/>
      <c r="I109" s="4"/>
      <c r="J109" s="4"/>
      <c r="K109" s="4"/>
      <c r="L109" s="4"/>
      <c r="M109" s="4"/>
      <c r="N109" s="4"/>
      <c r="O109" s="4"/>
      <c r="P109" s="4"/>
      <c r="Q109" s="4"/>
      <c r="R109" s="4"/>
    </row>
    <row r="110" spans="1:18" x14ac:dyDescent="0.2">
      <c r="A110" s="2"/>
      <c r="B110" s="2"/>
      <c r="C110" s="3"/>
      <c r="D110" s="4"/>
      <c r="E110" s="4"/>
      <c r="F110" s="329"/>
      <c r="G110" s="330"/>
      <c r="H110" s="330"/>
      <c r="I110" s="330"/>
      <c r="J110" s="330"/>
      <c r="K110" s="325"/>
      <c r="L110" s="4"/>
      <c r="M110" s="4"/>
      <c r="N110" s="4"/>
      <c r="O110" s="4"/>
      <c r="P110" s="4"/>
      <c r="Q110" s="4"/>
      <c r="R110" s="4"/>
    </row>
    <row r="111" spans="1:18" x14ac:dyDescent="0.2">
      <c r="A111" s="2"/>
      <c r="B111" s="2"/>
      <c r="C111" s="3"/>
      <c r="D111" s="4"/>
      <c r="E111" s="4"/>
      <c r="F111" s="331"/>
      <c r="G111" s="332"/>
      <c r="H111" s="332"/>
      <c r="I111" s="333" t="s">
        <v>691</v>
      </c>
      <c r="J111" s="333"/>
      <c r="K111" s="326"/>
      <c r="L111" s="4"/>
      <c r="M111" s="4"/>
      <c r="N111" s="4"/>
      <c r="O111" s="4"/>
      <c r="P111" s="4"/>
      <c r="Q111" s="4"/>
      <c r="R111" s="4"/>
    </row>
    <row r="112" spans="1:18" x14ac:dyDescent="0.2">
      <c r="A112" s="2"/>
      <c r="B112" s="2"/>
      <c r="C112" s="3"/>
      <c r="D112" s="4"/>
      <c r="E112" s="4"/>
      <c r="F112" s="331"/>
      <c r="G112" s="332"/>
      <c r="H112" s="332"/>
      <c r="I112" s="333" t="s">
        <v>692</v>
      </c>
      <c r="J112" s="333"/>
      <c r="K112" s="326"/>
      <c r="L112" s="4"/>
      <c r="M112" s="4"/>
      <c r="N112" s="4"/>
      <c r="O112" s="4"/>
      <c r="P112" s="4"/>
      <c r="Q112" s="4"/>
      <c r="R112" s="4"/>
    </row>
    <row r="113" spans="1:18" x14ac:dyDescent="0.2">
      <c r="A113" s="2"/>
      <c r="B113" s="2"/>
      <c r="C113" s="3"/>
      <c r="D113" s="4"/>
      <c r="E113" s="4"/>
      <c r="F113" s="331"/>
      <c r="G113" s="332"/>
      <c r="H113" s="332"/>
      <c r="I113" s="332"/>
      <c r="J113" s="37"/>
      <c r="K113" s="327"/>
      <c r="L113" s="4"/>
      <c r="M113" s="4"/>
      <c r="N113" s="4"/>
      <c r="O113" s="4"/>
      <c r="P113" s="4"/>
      <c r="Q113" s="4"/>
      <c r="R113" s="4"/>
    </row>
    <row r="114" spans="1:18" x14ac:dyDescent="0.2">
      <c r="A114" s="2"/>
      <c r="B114" s="2"/>
      <c r="C114" s="3"/>
      <c r="D114" s="4"/>
      <c r="E114" s="4"/>
      <c r="F114" s="331"/>
      <c r="G114" s="332"/>
      <c r="H114" s="332"/>
      <c r="I114" s="603">
        <f>ROUND(16.4*$J$108,0)</f>
        <v>1</v>
      </c>
      <c r="J114" s="603"/>
      <c r="K114" s="604" t="s">
        <v>690</v>
      </c>
      <c r="L114" s="4"/>
      <c r="M114" s="4"/>
      <c r="N114" s="4"/>
      <c r="O114" s="4"/>
      <c r="P114" s="4"/>
      <c r="Q114" s="4"/>
      <c r="R114" s="4"/>
    </row>
    <row r="115" spans="1:18" x14ac:dyDescent="0.2">
      <c r="A115" s="2"/>
      <c r="B115" s="2"/>
      <c r="C115" s="3"/>
      <c r="D115" s="4"/>
      <c r="E115" s="4"/>
      <c r="F115" s="331"/>
      <c r="G115" s="332"/>
      <c r="H115" s="332"/>
      <c r="I115" s="603"/>
      <c r="J115" s="603"/>
      <c r="K115" s="604"/>
      <c r="L115" s="4"/>
      <c r="M115" s="4"/>
      <c r="N115" s="4"/>
      <c r="O115" s="4"/>
      <c r="P115" s="4"/>
      <c r="Q115" s="4"/>
      <c r="R115" s="4"/>
    </row>
    <row r="116" spans="1:18" ht="15" thickBot="1" x14ac:dyDescent="0.25">
      <c r="A116" s="2"/>
      <c r="B116" s="2"/>
      <c r="C116" s="3"/>
      <c r="D116" s="4"/>
      <c r="E116" s="4"/>
      <c r="F116" s="334"/>
      <c r="G116" s="335"/>
      <c r="H116" s="335"/>
      <c r="I116" s="335"/>
      <c r="J116" s="335"/>
      <c r="K116" s="328"/>
      <c r="L116" s="4"/>
      <c r="M116" s="4"/>
      <c r="N116" s="4"/>
      <c r="O116" s="4"/>
      <c r="P116" s="4"/>
      <c r="Q116" s="4"/>
      <c r="R116" s="4"/>
    </row>
    <row r="117" spans="1:18" x14ac:dyDescent="0.2">
      <c r="A117" s="2"/>
      <c r="B117" s="2"/>
      <c r="C117" s="3"/>
      <c r="D117" s="4"/>
      <c r="E117" s="4"/>
      <c r="F117" s="4"/>
      <c r="G117" s="4"/>
      <c r="H117" s="4"/>
      <c r="I117" s="4"/>
      <c r="J117" s="4"/>
      <c r="K117" s="4"/>
      <c r="L117" s="4"/>
      <c r="M117" s="4"/>
      <c r="N117" s="4"/>
      <c r="O117" s="4"/>
      <c r="P117" s="4"/>
      <c r="Q117" s="4"/>
      <c r="R117" s="4"/>
    </row>
    <row r="118" spans="1:18" x14ac:dyDescent="0.2">
      <c r="A118" s="2"/>
      <c r="B118" s="2"/>
      <c r="C118" s="3"/>
      <c r="D118" s="4"/>
      <c r="E118" s="4"/>
      <c r="F118" s="4"/>
      <c r="G118" s="4"/>
      <c r="H118" s="4"/>
      <c r="I118" s="4"/>
      <c r="J118" s="4"/>
      <c r="K118" s="4"/>
      <c r="L118" s="4"/>
      <c r="M118" s="4"/>
      <c r="N118" s="4"/>
      <c r="O118" s="4"/>
      <c r="P118" s="4"/>
      <c r="Q118" s="4"/>
      <c r="R118" s="4"/>
    </row>
    <row r="119" spans="1:18" ht="30" customHeight="1" x14ac:dyDescent="0.2">
      <c r="A119" s="2"/>
      <c r="B119" s="2"/>
      <c r="C119" s="3"/>
      <c r="D119" s="4"/>
      <c r="E119" s="616" t="s">
        <v>48</v>
      </c>
      <c r="F119" s="617" t="s">
        <v>2</v>
      </c>
      <c r="G119" s="617"/>
      <c r="H119" s="617"/>
      <c r="I119" s="617"/>
      <c r="J119" s="617"/>
      <c r="K119" s="618" t="s">
        <v>49</v>
      </c>
      <c r="L119" s="618"/>
      <c r="M119" s="618"/>
      <c r="N119" s="618"/>
      <c r="O119" s="618"/>
      <c r="P119" s="618"/>
      <c r="Q119" s="618"/>
      <c r="R119" s="4"/>
    </row>
    <row r="120" spans="1:18" ht="20.100000000000001" customHeight="1" x14ac:dyDescent="0.2">
      <c r="A120" s="2"/>
      <c r="B120" s="2"/>
      <c r="C120" s="3"/>
      <c r="D120" s="4"/>
      <c r="E120" s="616"/>
      <c r="F120" s="617" t="s">
        <v>3</v>
      </c>
      <c r="G120" s="617"/>
      <c r="H120" s="617"/>
      <c r="I120" s="617"/>
      <c r="J120" s="617"/>
      <c r="K120" s="618" t="s">
        <v>1083</v>
      </c>
      <c r="L120" s="618"/>
      <c r="M120" s="618"/>
      <c r="N120" s="618"/>
      <c r="O120" s="618"/>
      <c r="P120" s="618"/>
      <c r="Q120" s="618"/>
      <c r="R120" s="4"/>
    </row>
    <row r="121" spans="1:18" ht="50.1" customHeight="1" x14ac:dyDescent="0.2">
      <c r="A121" s="2"/>
      <c r="B121" s="2"/>
      <c r="C121" s="3"/>
      <c r="D121" s="4"/>
      <c r="E121" s="4"/>
      <c r="F121" s="611" t="s">
        <v>50</v>
      </c>
      <c r="G121" s="611"/>
      <c r="H121" s="611"/>
      <c r="I121" s="611"/>
      <c r="J121" s="611"/>
      <c r="K121" s="605" t="s">
        <v>789</v>
      </c>
      <c r="L121" s="606"/>
      <c r="M121" s="606"/>
      <c r="N121" s="606"/>
      <c r="O121" s="606"/>
      <c r="P121" s="606"/>
      <c r="Q121" s="606"/>
      <c r="R121" s="4"/>
    </row>
    <row r="122" spans="1:18" x14ac:dyDescent="0.2">
      <c r="A122" s="2"/>
      <c r="B122" s="2"/>
      <c r="C122" s="3"/>
      <c r="D122" s="4"/>
      <c r="E122" s="4"/>
      <c r="F122" s="4"/>
      <c r="G122" s="4"/>
      <c r="H122" s="4"/>
      <c r="I122" s="4"/>
      <c r="J122" s="4"/>
      <c r="K122" s="4"/>
      <c r="L122" s="4"/>
      <c r="M122" s="4"/>
      <c r="N122" s="4"/>
      <c r="O122" s="4"/>
      <c r="P122" s="4"/>
      <c r="Q122" s="4"/>
      <c r="R122" s="4"/>
    </row>
    <row r="123" spans="1:18" ht="15" x14ac:dyDescent="0.2">
      <c r="A123" s="2"/>
      <c r="B123" s="2"/>
      <c r="C123" s="3"/>
      <c r="D123" s="4"/>
      <c r="E123" s="4"/>
      <c r="F123" s="601" t="s">
        <v>20</v>
      </c>
      <c r="G123" s="601"/>
      <c r="H123" s="601"/>
      <c r="I123" s="601"/>
      <c r="J123" s="601"/>
      <c r="K123" s="601"/>
      <c r="L123" s="601"/>
      <c r="M123" s="601"/>
      <c r="N123" s="601"/>
      <c r="O123" s="601"/>
      <c r="P123" s="601"/>
      <c r="Q123" s="601"/>
      <c r="R123" s="4"/>
    </row>
    <row r="124" spans="1:18" ht="8.1" customHeight="1" x14ac:dyDescent="0.2">
      <c r="A124" s="2"/>
      <c r="B124" s="2"/>
      <c r="C124" s="3"/>
      <c r="D124" s="4"/>
      <c r="E124" s="4"/>
      <c r="F124" s="4"/>
      <c r="G124" s="4"/>
      <c r="H124" s="4"/>
      <c r="I124" s="4"/>
      <c r="J124" s="4"/>
      <c r="K124" s="4"/>
      <c r="L124" s="4"/>
      <c r="M124" s="4"/>
      <c r="N124" s="4"/>
      <c r="O124" s="4"/>
      <c r="P124" s="4"/>
      <c r="Q124" s="4"/>
      <c r="R124" s="4"/>
    </row>
    <row r="125" spans="1:18" x14ac:dyDescent="0.2">
      <c r="A125" s="2"/>
      <c r="B125" s="2"/>
      <c r="C125" s="3"/>
      <c r="D125" s="4"/>
      <c r="E125" s="4"/>
      <c r="F125" s="17" t="s">
        <v>973</v>
      </c>
      <c r="G125" s="17"/>
      <c r="H125" s="17"/>
      <c r="I125" s="17"/>
      <c r="J125" s="4"/>
      <c r="K125" s="4"/>
      <c r="L125" s="4"/>
      <c r="M125" s="4"/>
      <c r="N125" s="4"/>
      <c r="O125" s="4"/>
      <c r="P125" s="532">
        <v>250</v>
      </c>
      <c r="Q125" s="324" t="s">
        <v>52</v>
      </c>
      <c r="R125" s="4"/>
    </row>
    <row r="126" spans="1:18" x14ac:dyDescent="0.2">
      <c r="A126" s="2"/>
      <c r="B126" s="2"/>
      <c r="C126" s="3"/>
      <c r="D126" s="4"/>
      <c r="E126" s="4"/>
      <c r="F126" s="17" t="s">
        <v>992</v>
      </c>
      <c r="G126" s="17"/>
      <c r="H126" s="17"/>
      <c r="I126" s="17"/>
      <c r="J126" s="4"/>
      <c r="K126" s="4"/>
      <c r="L126" s="4"/>
      <c r="M126" s="4"/>
      <c r="N126" s="4"/>
      <c r="O126" s="4"/>
      <c r="P126" s="534">
        <v>100</v>
      </c>
      <c r="Q126" s="324" t="s">
        <v>993</v>
      </c>
      <c r="R126" s="4"/>
    </row>
    <row r="127" spans="1:18" x14ac:dyDescent="0.2">
      <c r="A127" s="2"/>
      <c r="B127" s="2"/>
      <c r="C127" s="3"/>
      <c r="D127" s="4"/>
      <c r="E127" s="4"/>
      <c r="F127" s="17" t="s">
        <v>1119</v>
      </c>
      <c r="G127" s="17"/>
      <c r="H127" s="17"/>
      <c r="I127" s="17"/>
      <c r="J127" s="4"/>
      <c r="K127" s="4"/>
      <c r="L127" s="4"/>
      <c r="M127" s="4"/>
      <c r="N127" s="4"/>
      <c r="O127" s="4"/>
      <c r="P127" s="532" t="s">
        <v>59</v>
      </c>
      <c r="Q127" s="324" t="s">
        <v>53</v>
      </c>
      <c r="R127" s="4"/>
    </row>
    <row r="128" spans="1:18" x14ac:dyDescent="0.2">
      <c r="A128" s="2"/>
      <c r="B128" s="2"/>
      <c r="C128" s="3"/>
      <c r="D128" s="4"/>
      <c r="E128" s="4"/>
      <c r="F128" s="17" t="s">
        <v>974</v>
      </c>
      <c r="G128" s="17"/>
      <c r="H128" s="17"/>
      <c r="I128" s="17"/>
      <c r="J128" s="4"/>
      <c r="K128" s="529"/>
      <c r="L128" s="4"/>
      <c r="M128" s="4"/>
      <c r="N128" s="4"/>
      <c r="O128" s="4"/>
      <c r="P128" s="532">
        <v>12</v>
      </c>
      <c r="Q128" s="324" t="s">
        <v>29</v>
      </c>
      <c r="R128" s="4"/>
    </row>
    <row r="129" spans="1:18" x14ac:dyDescent="0.2">
      <c r="A129" s="2"/>
      <c r="B129" s="2"/>
      <c r="C129" s="3"/>
      <c r="D129" s="4"/>
      <c r="E129" s="4"/>
      <c r="F129" s="4"/>
      <c r="G129" s="4"/>
      <c r="H129" s="4"/>
      <c r="I129" s="4"/>
      <c r="J129" s="4"/>
      <c r="K129" s="4"/>
      <c r="L129" s="4"/>
      <c r="M129" s="4"/>
      <c r="N129" s="4"/>
      <c r="O129" s="4"/>
      <c r="P129" s="4"/>
      <c r="Q129" s="4"/>
      <c r="R129" s="4"/>
    </row>
    <row r="130" spans="1:18" ht="15" x14ac:dyDescent="0.2">
      <c r="A130" s="2"/>
      <c r="B130" s="2"/>
      <c r="C130" s="3"/>
      <c r="D130" s="4"/>
      <c r="E130" s="4"/>
      <c r="F130" s="601" t="s">
        <v>36</v>
      </c>
      <c r="G130" s="601"/>
      <c r="H130" s="601"/>
      <c r="I130" s="601"/>
      <c r="J130" s="601"/>
      <c r="K130" s="601"/>
      <c r="L130" s="601"/>
      <c r="M130" s="601"/>
      <c r="N130" s="601"/>
      <c r="O130" s="601"/>
      <c r="P130" s="601"/>
      <c r="Q130" s="601"/>
      <c r="R130" s="4"/>
    </row>
    <row r="131" spans="1:18" ht="14.25" customHeight="1" x14ac:dyDescent="0.2">
      <c r="A131" s="2"/>
      <c r="B131" s="2"/>
      <c r="C131" s="3"/>
      <c r="D131" s="4"/>
      <c r="E131" s="4"/>
      <c r="F131" s="4"/>
      <c r="G131" s="4"/>
      <c r="H131" s="4"/>
      <c r="I131" s="4"/>
      <c r="J131" s="4"/>
      <c r="K131" s="4"/>
      <c r="L131" s="4"/>
      <c r="M131" s="4"/>
      <c r="N131" s="4"/>
      <c r="O131" s="4"/>
      <c r="P131" s="4"/>
      <c r="Q131" s="4"/>
      <c r="R131" s="4"/>
    </row>
    <row r="132" spans="1:18" x14ac:dyDescent="0.2">
      <c r="A132" s="2"/>
      <c r="B132" s="2"/>
      <c r="C132" s="3"/>
      <c r="D132" s="4"/>
      <c r="E132" s="4"/>
      <c r="F132" s="17" t="s">
        <v>40</v>
      </c>
      <c r="G132" s="17"/>
      <c r="H132" s="17"/>
      <c r="I132" s="17"/>
      <c r="J132" s="19">
        <f>'Datos Eff Energ'!H77</f>
        <v>130.52259999999998</v>
      </c>
      <c r="K132" s="324" t="s">
        <v>39</v>
      </c>
      <c r="L132" s="4"/>
      <c r="M132" s="4"/>
      <c r="N132" s="4"/>
      <c r="O132" s="4"/>
      <c r="P132" s="4"/>
      <c r="Q132" s="4"/>
      <c r="R132" s="4"/>
    </row>
    <row r="133" spans="1:18" ht="15" thickBot="1" x14ac:dyDescent="0.25">
      <c r="A133" s="2"/>
      <c r="B133" s="2"/>
      <c r="C133" s="3"/>
      <c r="D133" s="4"/>
      <c r="E133" s="4"/>
      <c r="F133" s="4"/>
      <c r="G133" s="4"/>
      <c r="H133" s="4"/>
      <c r="I133" s="4"/>
      <c r="J133" s="4"/>
      <c r="K133" s="4"/>
      <c r="L133" s="4"/>
      <c r="M133" s="4"/>
      <c r="N133" s="4"/>
      <c r="O133" s="4"/>
      <c r="P133" s="4"/>
      <c r="Q133" s="4"/>
      <c r="R133" s="4"/>
    </row>
    <row r="134" spans="1:18" ht="14.25" customHeight="1" x14ac:dyDescent="0.2">
      <c r="A134" s="2"/>
      <c r="B134" s="2"/>
      <c r="C134" s="3"/>
      <c r="D134" s="4"/>
      <c r="E134" s="4"/>
      <c r="F134" s="329"/>
      <c r="G134" s="330"/>
      <c r="H134" s="330"/>
      <c r="I134" s="330"/>
      <c r="J134" s="330"/>
      <c r="K134" s="325"/>
      <c r="L134" s="4"/>
      <c r="M134" s="4"/>
      <c r="N134" s="4"/>
      <c r="O134" s="4"/>
      <c r="P134" s="4"/>
      <c r="Q134" s="4"/>
      <c r="R134" s="4"/>
    </row>
    <row r="135" spans="1:18" x14ac:dyDescent="0.2">
      <c r="A135" s="2"/>
      <c r="B135" s="2"/>
      <c r="C135" s="3"/>
      <c r="D135" s="4"/>
      <c r="E135" s="4"/>
      <c r="F135" s="331"/>
      <c r="G135" s="332"/>
      <c r="H135" s="332"/>
      <c r="I135" s="333" t="s">
        <v>691</v>
      </c>
      <c r="J135" s="333"/>
      <c r="K135" s="326"/>
      <c r="L135" s="4"/>
      <c r="M135" s="4"/>
      <c r="N135" s="4"/>
      <c r="O135" s="4"/>
      <c r="P135" s="4"/>
      <c r="Q135" s="4"/>
      <c r="R135" s="4"/>
    </row>
    <row r="136" spans="1:18" x14ac:dyDescent="0.2">
      <c r="A136" s="2"/>
      <c r="B136" s="2"/>
      <c r="C136" s="3"/>
      <c r="D136" s="4"/>
      <c r="E136" s="4"/>
      <c r="F136" s="331"/>
      <c r="G136" s="332"/>
      <c r="H136" s="332"/>
      <c r="I136" s="333" t="s">
        <v>692</v>
      </c>
      <c r="J136" s="333"/>
      <c r="K136" s="326"/>
      <c r="L136" s="4"/>
      <c r="M136" s="4"/>
      <c r="N136" s="4"/>
      <c r="O136" s="4"/>
      <c r="P136" s="4"/>
      <c r="Q136" s="4"/>
      <c r="R136" s="4"/>
    </row>
    <row r="137" spans="1:18" x14ac:dyDescent="0.2">
      <c r="A137" s="2"/>
      <c r="B137" s="2"/>
      <c r="C137" s="3"/>
      <c r="D137" s="4"/>
      <c r="E137" s="4"/>
      <c r="F137" s="331"/>
      <c r="G137" s="332"/>
      <c r="H137" s="332"/>
      <c r="I137" s="332"/>
      <c r="J137" s="37"/>
      <c r="K137" s="327"/>
      <c r="L137" s="4"/>
      <c r="M137" s="4"/>
      <c r="N137" s="4"/>
      <c r="O137" s="4"/>
      <c r="P137" s="4"/>
      <c r="Q137" s="4"/>
      <c r="R137" s="4"/>
    </row>
    <row r="138" spans="1:18" x14ac:dyDescent="0.2">
      <c r="A138" s="2"/>
      <c r="B138" s="2"/>
      <c r="C138" s="3"/>
      <c r="D138" s="4"/>
      <c r="E138" s="4"/>
      <c r="F138" s="331"/>
      <c r="G138" s="332"/>
      <c r="H138" s="332"/>
      <c r="I138" s="603">
        <f>ROUND(16.4*$J$132,0)</f>
        <v>2141</v>
      </c>
      <c r="J138" s="603"/>
      <c r="K138" s="604" t="s">
        <v>690</v>
      </c>
      <c r="L138" s="4"/>
      <c r="M138" s="4"/>
      <c r="N138" s="4"/>
      <c r="O138" s="4"/>
      <c r="P138" s="4"/>
      <c r="Q138" s="4"/>
      <c r="R138" s="4"/>
    </row>
    <row r="139" spans="1:18" x14ac:dyDescent="0.2">
      <c r="A139" s="2"/>
      <c r="B139" s="2"/>
      <c r="C139" s="3"/>
      <c r="D139" s="4"/>
      <c r="E139" s="4"/>
      <c r="F139" s="331"/>
      <c r="G139" s="332"/>
      <c r="H139" s="332"/>
      <c r="I139" s="603"/>
      <c r="J139" s="603"/>
      <c r="K139" s="604"/>
      <c r="L139" s="4"/>
      <c r="M139" s="4"/>
      <c r="N139" s="4"/>
      <c r="O139" s="4"/>
      <c r="P139" s="4"/>
      <c r="Q139" s="4"/>
      <c r="R139" s="4"/>
    </row>
    <row r="140" spans="1:18" ht="15" thickBot="1" x14ac:dyDescent="0.25">
      <c r="A140" s="2"/>
      <c r="B140" s="2"/>
      <c r="C140" s="3"/>
      <c r="D140" s="4"/>
      <c r="E140" s="4"/>
      <c r="F140" s="334"/>
      <c r="G140" s="335"/>
      <c r="H140" s="335"/>
      <c r="I140" s="335"/>
      <c r="J140" s="335"/>
      <c r="K140" s="328"/>
      <c r="L140" s="4"/>
      <c r="M140" s="4"/>
      <c r="N140" s="4"/>
      <c r="O140" s="4"/>
      <c r="P140" s="4"/>
      <c r="Q140" s="4"/>
      <c r="R140" s="4"/>
    </row>
    <row r="141" spans="1:18" x14ac:dyDescent="0.2">
      <c r="A141" s="2"/>
      <c r="B141" s="2"/>
      <c r="C141" s="3"/>
      <c r="D141" s="4"/>
      <c r="E141" s="4"/>
      <c r="F141" s="4"/>
      <c r="G141" s="4"/>
      <c r="H141" s="4"/>
      <c r="I141" s="4"/>
      <c r="J141" s="4"/>
      <c r="K141" s="4"/>
      <c r="L141" s="4"/>
      <c r="M141" s="4"/>
      <c r="N141" s="4"/>
      <c r="O141" s="4"/>
      <c r="P141" s="4"/>
      <c r="Q141" s="4"/>
      <c r="R141" s="4"/>
    </row>
    <row r="142" spans="1:18" x14ac:dyDescent="0.2">
      <c r="A142" s="2"/>
      <c r="B142" s="2"/>
      <c r="C142" s="3"/>
      <c r="D142" s="4"/>
      <c r="E142" s="4"/>
      <c r="F142" s="4"/>
      <c r="G142" s="4"/>
      <c r="H142" s="4"/>
      <c r="I142" s="4"/>
      <c r="J142" s="4"/>
      <c r="K142" s="4"/>
      <c r="L142" s="4"/>
      <c r="M142" s="4"/>
      <c r="N142" s="4"/>
      <c r="O142" s="4"/>
      <c r="P142" s="4"/>
      <c r="Q142" s="4"/>
      <c r="R142" s="4"/>
    </row>
    <row r="143" spans="1:18" ht="20.100000000000001" customHeight="1" x14ac:dyDescent="0.2">
      <c r="A143" s="2"/>
      <c r="B143" s="2"/>
      <c r="C143" s="3"/>
      <c r="D143" s="4"/>
      <c r="E143" s="616" t="s">
        <v>453</v>
      </c>
      <c r="F143" s="617" t="s">
        <v>2</v>
      </c>
      <c r="G143" s="617"/>
      <c r="H143" s="617"/>
      <c r="I143" s="617"/>
      <c r="J143" s="617"/>
      <c r="K143" s="618" t="s">
        <v>454</v>
      </c>
      <c r="L143" s="618"/>
      <c r="M143" s="618"/>
      <c r="N143" s="618"/>
      <c r="O143" s="618"/>
      <c r="P143" s="618"/>
      <c r="Q143" s="618"/>
      <c r="R143" s="4"/>
    </row>
    <row r="144" spans="1:18" ht="20.100000000000001" customHeight="1" x14ac:dyDescent="0.2">
      <c r="A144" s="2"/>
      <c r="B144" s="2"/>
      <c r="C144" s="3"/>
      <c r="D144" s="4"/>
      <c r="E144" s="616"/>
      <c r="F144" s="617" t="s">
        <v>3</v>
      </c>
      <c r="G144" s="617"/>
      <c r="H144" s="617"/>
      <c r="I144" s="617"/>
      <c r="J144" s="617"/>
      <c r="K144" s="618" t="s">
        <v>1083</v>
      </c>
      <c r="L144" s="618"/>
      <c r="M144" s="618"/>
      <c r="N144" s="618"/>
      <c r="O144" s="618"/>
      <c r="P144" s="618"/>
      <c r="Q144" s="618"/>
      <c r="R144" s="4"/>
    </row>
    <row r="145" spans="1:18" ht="50.1" customHeight="1" x14ac:dyDescent="0.2">
      <c r="A145" s="2"/>
      <c r="B145" s="2"/>
      <c r="C145" s="3"/>
      <c r="D145" s="4"/>
      <c r="E145" s="4"/>
      <c r="F145" s="611" t="s">
        <v>50</v>
      </c>
      <c r="G145" s="611"/>
      <c r="H145" s="611"/>
      <c r="I145" s="611"/>
      <c r="J145" s="611"/>
      <c r="K145" s="605" t="s">
        <v>789</v>
      </c>
      <c r="L145" s="606"/>
      <c r="M145" s="606"/>
      <c r="N145" s="606"/>
      <c r="O145" s="606"/>
      <c r="P145" s="606"/>
      <c r="Q145" s="606"/>
      <c r="R145" s="4"/>
    </row>
    <row r="146" spans="1:18" x14ac:dyDescent="0.2">
      <c r="A146" s="2"/>
      <c r="B146" s="2"/>
      <c r="C146" s="3"/>
      <c r="D146" s="4"/>
      <c r="E146" s="4"/>
      <c r="F146" s="4"/>
      <c r="G146" s="4"/>
      <c r="H146" s="4"/>
      <c r="I146" s="4"/>
      <c r="J146" s="4"/>
      <c r="K146" s="4"/>
      <c r="L146" s="4"/>
      <c r="M146" s="4"/>
      <c r="N146" s="4"/>
      <c r="O146" s="4"/>
      <c r="P146" s="4"/>
      <c r="Q146" s="4"/>
      <c r="R146" s="4"/>
    </row>
    <row r="147" spans="1:18" ht="15" x14ac:dyDescent="0.2">
      <c r="A147" s="2"/>
      <c r="B147" s="2"/>
      <c r="C147" s="3"/>
      <c r="D147" s="4"/>
      <c r="E147" s="4"/>
      <c r="F147" s="601" t="s">
        <v>20</v>
      </c>
      <c r="G147" s="601"/>
      <c r="H147" s="601"/>
      <c r="I147" s="601"/>
      <c r="J147" s="601"/>
      <c r="K147" s="601"/>
      <c r="L147" s="601"/>
      <c r="M147" s="601"/>
      <c r="N147" s="601"/>
      <c r="O147" s="601"/>
      <c r="P147" s="601"/>
      <c r="Q147" s="601"/>
      <c r="R147" s="4"/>
    </row>
    <row r="148" spans="1:18" ht="9.9499999999999993" customHeight="1" x14ac:dyDescent="0.2">
      <c r="A148" s="2"/>
      <c r="B148" s="2"/>
      <c r="C148" s="3"/>
      <c r="D148" s="4"/>
      <c r="E148" s="4"/>
      <c r="F148" s="4"/>
      <c r="G148" s="4"/>
      <c r="H148" s="4"/>
      <c r="I148" s="4"/>
      <c r="J148" s="4"/>
      <c r="K148" s="4"/>
      <c r="L148" s="4"/>
      <c r="M148" s="4"/>
      <c r="N148" s="4"/>
      <c r="O148" s="4"/>
      <c r="P148" s="4"/>
      <c r="Q148" s="4"/>
      <c r="R148" s="4"/>
    </row>
    <row r="149" spans="1:18" x14ac:dyDescent="0.2">
      <c r="A149" s="2"/>
      <c r="B149" s="2"/>
      <c r="C149" s="3"/>
      <c r="D149" s="4"/>
      <c r="E149" s="4"/>
      <c r="F149" s="17" t="s">
        <v>975</v>
      </c>
      <c r="G149" s="17"/>
      <c r="H149" s="17"/>
      <c r="I149" s="17"/>
      <c r="J149" s="4"/>
      <c r="K149" s="4"/>
      <c r="L149" s="4"/>
      <c r="M149" s="4"/>
      <c r="N149" s="4"/>
      <c r="O149" s="4"/>
      <c r="P149" s="602" t="s">
        <v>412</v>
      </c>
      <c r="Q149" s="587"/>
      <c r="R149" s="4"/>
    </row>
    <row r="150" spans="1:18" x14ac:dyDescent="0.2">
      <c r="A150" s="2"/>
      <c r="B150" s="2"/>
      <c r="C150" s="3"/>
      <c r="D150" s="4"/>
      <c r="E150" s="4"/>
      <c r="F150" s="17" t="s">
        <v>976</v>
      </c>
      <c r="G150" s="17"/>
      <c r="H150" s="17"/>
      <c r="I150" s="17"/>
      <c r="J150" s="4"/>
      <c r="K150" s="4"/>
      <c r="L150" s="4"/>
      <c r="M150" s="4"/>
      <c r="N150" s="4"/>
      <c r="O150" s="4"/>
      <c r="P150" s="532">
        <v>15</v>
      </c>
      <c r="Q150" s="324" t="str">
        <f>IF(P149="A gas","cilindros 15kg/mes",IF(P149="Eléctrica","kWh/mes",""))</f>
        <v>kWh/mes</v>
      </c>
      <c r="R150" s="4"/>
    </row>
    <row r="151" spans="1:18" x14ac:dyDescent="0.2">
      <c r="A151" s="2"/>
      <c r="B151" s="2"/>
      <c r="C151" s="3"/>
      <c r="D151" s="4"/>
      <c r="E151" s="4"/>
      <c r="F151" s="4"/>
      <c r="G151" s="4"/>
      <c r="H151" s="4"/>
      <c r="I151" s="4"/>
      <c r="J151" s="4"/>
      <c r="K151" s="4"/>
      <c r="L151" s="4"/>
      <c r="M151" s="4"/>
      <c r="N151" s="4"/>
      <c r="O151" s="4"/>
      <c r="P151" s="4"/>
      <c r="Q151" s="4"/>
      <c r="R151" s="4"/>
    </row>
    <row r="152" spans="1:18" ht="15" x14ac:dyDescent="0.2">
      <c r="A152" s="2"/>
      <c r="B152" s="2"/>
      <c r="C152" s="3"/>
      <c r="D152" s="4"/>
      <c r="E152" s="4"/>
      <c r="F152" s="601" t="s">
        <v>36</v>
      </c>
      <c r="G152" s="601"/>
      <c r="H152" s="601"/>
      <c r="I152" s="601"/>
      <c r="J152" s="601"/>
      <c r="K152" s="601"/>
      <c r="L152" s="601"/>
      <c r="M152" s="601"/>
      <c r="N152" s="601"/>
      <c r="O152" s="601"/>
      <c r="P152" s="601"/>
      <c r="Q152" s="601"/>
      <c r="R152" s="4"/>
    </row>
    <row r="153" spans="1:18" ht="14.25" customHeight="1" x14ac:dyDescent="0.2">
      <c r="A153" s="2"/>
      <c r="B153" s="2"/>
      <c r="C153" s="3"/>
      <c r="D153" s="4"/>
      <c r="E153" s="4"/>
      <c r="F153" s="4"/>
      <c r="G153" s="4"/>
      <c r="H153" s="4"/>
      <c r="I153" s="4"/>
      <c r="J153" s="4"/>
      <c r="K153" s="4"/>
      <c r="L153" s="4"/>
      <c r="M153" s="4"/>
      <c r="N153" s="4"/>
      <c r="O153" s="4"/>
      <c r="P153" s="4"/>
      <c r="Q153" s="4"/>
      <c r="R153" s="4"/>
    </row>
    <row r="154" spans="1:18" x14ac:dyDescent="0.2">
      <c r="A154" s="2"/>
      <c r="B154" s="2"/>
      <c r="C154" s="3"/>
      <c r="D154" s="4"/>
      <c r="E154" s="4"/>
      <c r="F154" s="17" t="s">
        <v>40</v>
      </c>
      <c r="G154" s="17"/>
      <c r="H154" s="17"/>
      <c r="I154" s="17"/>
      <c r="J154" s="19">
        <f>'Datos Eff Energ'!H92</f>
        <v>5.2732142857142886E-4</v>
      </c>
      <c r="K154" s="324" t="s">
        <v>39</v>
      </c>
      <c r="L154" s="4"/>
      <c r="M154" s="4"/>
      <c r="N154" s="4"/>
      <c r="O154" s="4"/>
      <c r="P154" s="4"/>
      <c r="Q154" s="4"/>
      <c r="R154" s="4"/>
    </row>
    <row r="155" spans="1:18" ht="15" thickBot="1" x14ac:dyDescent="0.25">
      <c r="A155" s="2"/>
      <c r="B155" s="2"/>
      <c r="C155" s="3"/>
      <c r="D155" s="4"/>
      <c r="E155" s="4"/>
      <c r="F155" s="4"/>
      <c r="G155" s="4"/>
      <c r="H155" s="4"/>
      <c r="I155" s="4"/>
      <c r="J155" s="4"/>
      <c r="K155" s="4"/>
      <c r="L155" s="4"/>
      <c r="M155" s="4"/>
      <c r="N155" s="4"/>
      <c r="O155" s="4"/>
      <c r="P155" s="4"/>
      <c r="Q155" s="4"/>
      <c r="R155" s="4"/>
    </row>
    <row r="156" spans="1:18" ht="14.25" customHeight="1" x14ac:dyDescent="0.2">
      <c r="A156" s="2"/>
      <c r="B156" s="2"/>
      <c r="C156" s="3"/>
      <c r="D156" s="4"/>
      <c r="E156" s="4"/>
      <c r="F156" s="329"/>
      <c r="G156" s="330"/>
      <c r="H156" s="330"/>
      <c r="I156" s="330"/>
      <c r="J156" s="330"/>
      <c r="K156" s="325"/>
      <c r="L156" s="4"/>
      <c r="M156" s="4"/>
      <c r="N156" s="4"/>
      <c r="O156" s="4"/>
      <c r="P156" s="4"/>
      <c r="Q156" s="4"/>
      <c r="R156" s="4"/>
    </row>
    <row r="157" spans="1:18" x14ac:dyDescent="0.2">
      <c r="A157" s="2"/>
      <c r="B157" s="2"/>
      <c r="C157" s="3"/>
      <c r="D157" s="4"/>
      <c r="E157" s="4"/>
      <c r="F157" s="331"/>
      <c r="G157" s="332"/>
      <c r="H157" s="332"/>
      <c r="I157" s="333" t="s">
        <v>691</v>
      </c>
      <c r="J157" s="333"/>
      <c r="K157" s="326"/>
      <c r="L157" s="4"/>
      <c r="M157" s="4"/>
      <c r="N157" s="4"/>
      <c r="O157" s="4"/>
      <c r="P157" s="4"/>
      <c r="Q157" s="4"/>
      <c r="R157" s="4"/>
    </row>
    <row r="158" spans="1:18" x14ac:dyDescent="0.2">
      <c r="A158" s="2"/>
      <c r="B158" s="2"/>
      <c r="C158" s="3"/>
      <c r="D158" s="4"/>
      <c r="E158" s="4"/>
      <c r="F158" s="331"/>
      <c r="G158" s="332"/>
      <c r="H158" s="332"/>
      <c r="I158" s="333" t="s">
        <v>692</v>
      </c>
      <c r="J158" s="333"/>
      <c r="K158" s="326"/>
      <c r="L158" s="4"/>
      <c r="M158" s="4"/>
      <c r="N158" s="4"/>
      <c r="O158" s="4"/>
      <c r="P158" s="4"/>
      <c r="Q158" s="4"/>
      <c r="R158" s="4"/>
    </row>
    <row r="159" spans="1:18" x14ac:dyDescent="0.2">
      <c r="A159" s="2"/>
      <c r="B159" s="2"/>
      <c r="C159" s="3"/>
      <c r="D159" s="4"/>
      <c r="E159" s="4"/>
      <c r="F159" s="331"/>
      <c r="G159" s="332"/>
      <c r="H159" s="332"/>
      <c r="I159" s="332"/>
      <c r="J159" s="37"/>
      <c r="K159" s="327"/>
      <c r="L159" s="4"/>
      <c r="M159" s="4"/>
      <c r="N159" s="4"/>
      <c r="O159" s="4"/>
      <c r="P159" s="4"/>
      <c r="Q159" s="4"/>
      <c r="R159" s="4"/>
    </row>
    <row r="160" spans="1:18" x14ac:dyDescent="0.2">
      <c r="A160" s="2"/>
      <c r="B160" s="2"/>
      <c r="C160" s="3"/>
      <c r="D160" s="4"/>
      <c r="E160" s="4"/>
      <c r="F160" s="331"/>
      <c r="G160" s="332"/>
      <c r="H160" s="332"/>
      <c r="I160" s="603">
        <f>ROUND(16.4*$J$154,0)</f>
        <v>0</v>
      </c>
      <c r="J160" s="603"/>
      <c r="K160" s="604" t="s">
        <v>690</v>
      </c>
      <c r="L160" s="4"/>
      <c r="M160" s="4"/>
      <c r="N160" s="4"/>
      <c r="O160" s="4"/>
      <c r="P160" s="4"/>
      <c r="Q160" s="4"/>
      <c r="R160" s="4"/>
    </row>
    <row r="161" spans="1:18" x14ac:dyDescent="0.2">
      <c r="A161" s="2"/>
      <c r="B161" s="2"/>
      <c r="C161" s="3"/>
      <c r="D161" s="4"/>
      <c r="E161" s="4"/>
      <c r="F161" s="331"/>
      <c r="G161" s="332"/>
      <c r="H161" s="332"/>
      <c r="I161" s="603"/>
      <c r="J161" s="603"/>
      <c r="K161" s="604"/>
      <c r="L161" s="4"/>
      <c r="M161" s="4"/>
      <c r="N161" s="4"/>
      <c r="O161" s="4"/>
      <c r="P161" s="4"/>
      <c r="Q161" s="4"/>
      <c r="R161" s="4"/>
    </row>
    <row r="162" spans="1:18" ht="15" thickBot="1" x14ac:dyDescent="0.25">
      <c r="A162" s="2"/>
      <c r="B162" s="2"/>
      <c r="C162" s="3"/>
      <c r="D162" s="4"/>
      <c r="E162" s="4"/>
      <c r="F162" s="334"/>
      <c r="G162" s="335"/>
      <c r="H162" s="335"/>
      <c r="I162" s="335"/>
      <c r="J162" s="335"/>
      <c r="K162" s="328"/>
      <c r="L162" s="4"/>
      <c r="M162" s="4"/>
      <c r="N162" s="4"/>
      <c r="O162" s="4"/>
      <c r="P162" s="4"/>
      <c r="Q162" s="4"/>
      <c r="R162" s="4"/>
    </row>
    <row r="163" spans="1:18" x14ac:dyDescent="0.2">
      <c r="A163" s="2"/>
      <c r="B163" s="2"/>
      <c r="C163" s="3"/>
      <c r="D163" s="4"/>
      <c r="E163" s="4"/>
      <c r="F163" s="4"/>
      <c r="G163" s="4"/>
      <c r="H163" s="4"/>
      <c r="I163" s="4"/>
      <c r="J163" s="4"/>
      <c r="K163" s="4"/>
      <c r="L163" s="4"/>
      <c r="M163" s="4"/>
      <c r="N163" s="4"/>
      <c r="O163" s="4"/>
      <c r="P163" s="4"/>
      <c r="Q163" s="4"/>
      <c r="R163" s="4"/>
    </row>
    <row r="164" spans="1:18" x14ac:dyDescent="0.2">
      <c r="A164" s="2"/>
      <c r="B164" s="2"/>
      <c r="C164" s="3"/>
      <c r="D164" s="4"/>
      <c r="E164" s="4"/>
      <c r="F164" s="4"/>
      <c r="G164" s="4"/>
      <c r="H164" s="4"/>
      <c r="I164" s="4"/>
      <c r="J164" s="4"/>
      <c r="K164" s="4"/>
      <c r="L164" s="4"/>
      <c r="M164" s="4"/>
      <c r="N164" s="4"/>
      <c r="O164" s="4"/>
      <c r="P164" s="4"/>
      <c r="Q164" s="4"/>
      <c r="R164" s="4"/>
    </row>
  </sheetData>
  <sheetProtection algorithmName="SHA-512" hashValue="alcbCHsaceOwI2NS6Slixpy6Fdeh0rS948QczUVQ4iaXoZe2cXLXtgvJd5TkwDnJteMEqH8wl1C2LippXZtQMA==" saltValue="MLdwv4RkGJhlVktaK+jzPg==" spinCount="100000" sheet="1" objects="1" scenarios="1"/>
  <mergeCells count="77">
    <mergeCell ref="F145:J145"/>
    <mergeCell ref="K145:Q145"/>
    <mergeCell ref="I97:K99"/>
    <mergeCell ref="F75:Q75"/>
    <mergeCell ref="F84:Q84"/>
    <mergeCell ref="I92:J93"/>
    <mergeCell ref="K92:K93"/>
    <mergeCell ref="F97:G99"/>
    <mergeCell ref="P79:Q79"/>
    <mergeCell ref="P77:Q77"/>
    <mergeCell ref="F101:Q101"/>
    <mergeCell ref="F106:Q106"/>
    <mergeCell ref="I114:J115"/>
    <mergeCell ref="K114:K115"/>
    <mergeCell ref="F123:Q123"/>
    <mergeCell ref="F121:J121"/>
    <mergeCell ref="E119:E120"/>
    <mergeCell ref="F119:J119"/>
    <mergeCell ref="K119:Q119"/>
    <mergeCell ref="F120:J120"/>
    <mergeCell ref="K120:Q120"/>
    <mergeCell ref="E143:E144"/>
    <mergeCell ref="F143:J143"/>
    <mergeCell ref="K143:Q143"/>
    <mergeCell ref="F144:J144"/>
    <mergeCell ref="K144:Q144"/>
    <mergeCell ref="C3:M3"/>
    <mergeCell ref="K12:Q12"/>
    <mergeCell ref="K13:Q13"/>
    <mergeCell ref="K41:Q41"/>
    <mergeCell ref="F41:J41"/>
    <mergeCell ref="F12:J12"/>
    <mergeCell ref="F13:J13"/>
    <mergeCell ref="P24:Q24"/>
    <mergeCell ref="E41:E42"/>
    <mergeCell ref="E12:E13"/>
    <mergeCell ref="K42:Q42"/>
    <mergeCell ref="F42:J42"/>
    <mergeCell ref="F14:J14"/>
    <mergeCell ref="K14:Q14"/>
    <mergeCell ref="K36:K37"/>
    <mergeCell ref="I36:J37"/>
    <mergeCell ref="E67:E68"/>
    <mergeCell ref="F67:J67"/>
    <mergeCell ref="K67:Q67"/>
    <mergeCell ref="F68:J68"/>
    <mergeCell ref="K68:Q68"/>
    <mergeCell ref="F16:G18"/>
    <mergeCell ref="F20:Q20"/>
    <mergeCell ref="F28:Q28"/>
    <mergeCell ref="F45:Q45"/>
    <mergeCell ref="P49:Q49"/>
    <mergeCell ref="P47:Q47"/>
    <mergeCell ref="P48:Q48"/>
    <mergeCell ref="I16:K18"/>
    <mergeCell ref="P26:Q26"/>
    <mergeCell ref="P22:Q22"/>
    <mergeCell ref="F43:J43"/>
    <mergeCell ref="K43:Q43"/>
    <mergeCell ref="F52:Q52"/>
    <mergeCell ref="F54:Q54"/>
    <mergeCell ref="I62:J63"/>
    <mergeCell ref="K62:K63"/>
    <mergeCell ref="F71:G73"/>
    <mergeCell ref="F69:J69"/>
    <mergeCell ref="K69:Q69"/>
    <mergeCell ref="I71:K73"/>
    <mergeCell ref="K121:Q121"/>
    <mergeCell ref="P104:Q104"/>
    <mergeCell ref="F130:Q130"/>
    <mergeCell ref="I138:J139"/>
    <mergeCell ref="K138:K139"/>
    <mergeCell ref="F147:Q147"/>
    <mergeCell ref="P149:Q149"/>
    <mergeCell ref="F152:Q152"/>
    <mergeCell ref="I160:J161"/>
    <mergeCell ref="K160:K161"/>
  </mergeCells>
  <conditionalFormatting sqref="F78">
    <cfRule type="expression" dxfId="64" priority="2">
      <formula>$P$77="Ancho y alto"</formula>
    </cfRule>
  </conditionalFormatting>
  <conditionalFormatting sqref="F52:Q52">
    <cfRule type="expression" dxfId="63" priority="1">
      <formula>$P$47="Potencia Refrigerativa"</formula>
    </cfRule>
  </conditionalFormatting>
  <conditionalFormatting sqref="G81:G82">
    <cfRule type="expression" dxfId="62" priority="5">
      <formula>$P$77="Volumen en pies cúbicos"</formula>
    </cfRule>
    <cfRule type="expression" dxfId="61" priority="6">
      <formula>$P$77="Volumen en litros"</formula>
    </cfRule>
  </conditionalFormatting>
  <conditionalFormatting sqref="P78:Q78">
    <cfRule type="expression" dxfId="60" priority="27">
      <formula>$P$77="Ancho y alto"</formula>
    </cfRule>
  </conditionalFormatting>
  <conditionalFormatting sqref="P81:Q82">
    <cfRule type="expression" dxfId="59" priority="3">
      <formula>$P$77="Volumen en litros"</formula>
    </cfRule>
    <cfRule type="expression" dxfId="58" priority="7">
      <formula>$P$77="Volumen en pies cúbicos"</formula>
    </cfRule>
  </conditionalFormatting>
  <hyperlinks>
    <hyperlink ref="H8" location="EFICIENCIA!E119" display="D. Iluminación LED" xr:uid="{C03FFF78-18AB-45C9-9D8E-03A1C32CE9DC}"/>
    <hyperlink ref="H7" location="EFICIENCIA!E67" display="C. Electrodomésticos" xr:uid="{E4402B75-AAB0-4E73-8CD2-FB02F2BCF17A}"/>
    <hyperlink ref="H9" location="EFICIENCIA!E143" display="E. Cocinas de inducción" xr:uid="{23B9E45A-7150-4A3E-AA21-E5D154C6606D}"/>
    <hyperlink ref="H6" location="EFICIENCIA!E41" display="B. Aires acondicionados" xr:uid="{F4175F5D-35CC-4229-8337-9A8D36DA4B0D}"/>
    <hyperlink ref="H5" location="EFICIENCIA!E12" display="A. Maquinaria y equipos" xr:uid="{F882F55E-D14F-4DC1-A3B2-D614FB837D95}"/>
  </hyperlinks>
  <pageMargins left="0.7" right="0.7" top="0.75" bottom="0.75" header="0.3" footer="0.3"/>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229E7025-3012-4275-A58E-8A41DC08B929}">
          <x14:formula1>
            <xm:f>'Datos Eff Energ'!$F$7:$F$36</xm:f>
          </x14:formula1>
          <xm:sqref>P22</xm:sqref>
        </x14:dataValidation>
        <x14:dataValidation type="list" allowBlank="1" showInputMessage="1" showErrorMessage="1" xr:uid="{950DA33B-1C01-49F3-800B-61C82453C179}">
          <x14:formula1>
            <xm:f>'Datos Eff Energ'!$J$6:$K$6</xm:f>
          </x14:formula1>
          <xm:sqref>P24</xm:sqref>
        </x14:dataValidation>
        <x14:dataValidation type="list" allowBlank="1" showInputMessage="1" showErrorMessage="1" xr:uid="{92ED3FDC-B81D-4539-B081-2D1E989AC5EB}">
          <x14:formula1>
            <xm:f>'Datos Eff Energ'!$C$13:$C$14</xm:f>
          </x14:formula1>
          <xm:sqref>P26</xm:sqref>
        </x14:dataValidation>
        <x14:dataValidation type="list" allowBlank="1" showInputMessage="1" showErrorMessage="1" xr:uid="{A18CC68C-1AE0-40B2-BAF0-1EF59C7015F5}">
          <x14:formula1>
            <xm:f>'Datos Eff Energ'!$F$43:$G$43</xm:f>
          </x14:formula1>
          <xm:sqref>P47:Q47</xm:sqref>
        </x14:dataValidation>
        <x14:dataValidation type="list" allowBlank="1" showInputMessage="1" showErrorMessage="1" xr:uid="{B1F7746A-A1D2-49FB-934C-4E1206695943}">
          <x14:formula1>
            <xm:f>'Datos Eff Energ'!$C$49:$C$50</xm:f>
          </x14:formula1>
          <xm:sqref>P49:Q49</xm:sqref>
        </x14:dataValidation>
        <x14:dataValidation type="list" allowBlank="1" showInputMessage="1" showErrorMessage="1" xr:uid="{4DA2B1A8-53EE-4985-BE73-92DEDFE97803}">
          <x14:formula1>
            <xm:f>'Datos Eff Energ'!$C$51:$C$53</xm:f>
          </x14:formula1>
          <xm:sqref>P50</xm:sqref>
        </x14:dataValidation>
        <x14:dataValidation type="list" allowBlank="1" showInputMessage="1" showErrorMessage="1" xr:uid="{0C8EC895-398B-4048-830D-5A2793E7021F}">
          <x14:formula1>
            <xm:f>'Datos Eff Energ'!$C$111:$C$112</xm:f>
          </x14:formula1>
          <xm:sqref>P79:P80</xm:sqref>
        </x14:dataValidation>
        <x14:dataValidation type="list" allowBlank="1" showInputMessage="1" showErrorMessage="1" xr:uid="{29ED1CBE-BBCB-4ACD-82C4-19B856EA9EED}">
          <x14:formula1>
            <xm:f>'Datos Eff Energ'!$C$91:$C$92</xm:f>
          </x14:formula1>
          <xm:sqref>P149</xm:sqref>
        </x14:dataValidation>
        <x14:dataValidation type="list" allowBlank="1" showInputMessage="1" showErrorMessage="1" xr:uid="{FB925DAF-F883-4AEC-A605-584D8D259EA4}">
          <x14:formula1>
            <xm:f>'Datos Eff Energ'!$F$106:$H$106</xm:f>
          </x14:formula1>
          <xm:sqref>P77</xm:sqref>
        </x14:dataValidation>
        <x14:dataValidation type="list" allowBlank="1" showInputMessage="1" showErrorMessage="1" xr:uid="{BBBDF3F6-FC4D-432C-931E-C236CB91E9D0}">
          <x14:formula1>
            <xm:f>'Datos Eff Energ'!$D$133:$D$134</xm:f>
          </x14:formula1>
          <xm:sqref>P104</xm:sqref>
        </x14:dataValidation>
        <x14:dataValidation type="list" allowBlank="1" showInputMessage="1" showErrorMessage="1" xr:uid="{18CF03EE-974B-4704-8905-DDAA0E5E242A}">
          <x14:formula1>
            <xm:f>PDL!$A$1:$A$4</xm:f>
          </x14:formula1>
          <xm:sqref>P127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3B5C8-06C1-4FB9-8FC3-2E5852421B99}">
  <dimension ref="A1:AX149"/>
  <sheetViews>
    <sheetView showGridLines="0" topLeftCell="A146" zoomScale="86" zoomScaleNormal="86" workbookViewId="0">
      <selection activeCell="D148" sqref="D148"/>
    </sheetView>
  </sheetViews>
  <sheetFormatPr baseColWidth="10" defaultColWidth="0" defaultRowHeight="14.25" zeroHeight="1" x14ac:dyDescent="0.2"/>
  <cols>
    <col min="1" max="1" width="3.5" style="1" customWidth="1"/>
    <col min="2" max="2" width="24.75" style="7" customWidth="1"/>
    <col min="3" max="3" width="13.625" style="1" bestFit="1" customWidth="1"/>
    <col min="4" max="4" width="17.5" style="1" customWidth="1"/>
    <col min="5" max="5" width="11" style="1" customWidth="1"/>
    <col min="6" max="6" width="18.625" style="1" customWidth="1"/>
    <col min="7" max="7" width="21.25" style="1" customWidth="1"/>
    <col min="8" max="8" width="18.75" style="1" bestFit="1" customWidth="1"/>
    <col min="9" max="9" width="19.25" style="1" bestFit="1" customWidth="1"/>
    <col min="10" max="10" width="26.125" style="1" bestFit="1" customWidth="1"/>
    <col min="11" max="11" width="19.25" style="1" bestFit="1" customWidth="1"/>
    <col min="12" max="12" width="23.375" style="1" bestFit="1" customWidth="1"/>
    <col min="13" max="13" width="6.125" style="1" customWidth="1"/>
    <col min="14" max="14" width="18.875" style="1" bestFit="1" customWidth="1"/>
    <col min="15" max="15" width="11" style="1" customWidth="1"/>
    <col min="16" max="16" width="11.375" style="1" bestFit="1" customWidth="1"/>
    <col min="17" max="21" width="5.625" style="1" bestFit="1" customWidth="1"/>
    <col min="22" max="29" width="11" style="1" customWidth="1"/>
    <col min="30" max="30" width="0.625" style="1" customWidth="1"/>
    <col min="31" max="31" width="6.75" style="1" customWidth="1"/>
    <col min="32" max="39" width="11" style="1" customWidth="1"/>
    <col min="40" max="40" width="0.75" style="1" customWidth="1"/>
    <col min="41" max="50" width="11" style="1" customWidth="1"/>
    <col min="51" max="16384" width="11" style="1" hidden="1"/>
  </cols>
  <sheetData>
    <row r="1" spans="1:49" x14ac:dyDescent="0.2">
      <c r="AP1" s="1" t="s">
        <v>312</v>
      </c>
    </row>
    <row r="2" spans="1:49" x14ac:dyDescent="0.2">
      <c r="A2" s="105"/>
      <c r="B2" s="106"/>
      <c r="C2" s="107"/>
      <c r="D2" s="107"/>
      <c r="E2" s="107"/>
      <c r="F2" s="107"/>
      <c r="G2" s="107"/>
      <c r="H2" s="107"/>
      <c r="I2" s="107"/>
      <c r="J2" s="107"/>
      <c r="K2" s="107"/>
      <c r="L2" s="107"/>
      <c r="V2" s="621" t="s">
        <v>313</v>
      </c>
      <c r="W2" s="621"/>
      <c r="X2" s="621"/>
      <c r="Y2" s="621"/>
      <c r="Z2" s="621" t="s">
        <v>314</v>
      </c>
      <c r="AA2" s="621"/>
      <c r="AB2" s="621"/>
      <c r="AC2" s="621"/>
      <c r="AF2" s="621" t="s">
        <v>315</v>
      </c>
      <c r="AG2" s="621"/>
      <c r="AH2" s="621"/>
      <c r="AJ2" s="621" t="s">
        <v>316</v>
      </c>
      <c r="AK2" s="621"/>
      <c r="AL2" s="621"/>
      <c r="AP2" s="621" t="s">
        <v>317</v>
      </c>
      <c r="AQ2" s="621"/>
      <c r="AR2" s="621"/>
      <c r="AT2" s="621" t="s">
        <v>318</v>
      </c>
      <c r="AU2" s="621"/>
      <c r="AV2" s="621"/>
    </row>
    <row r="3" spans="1:49" ht="15" x14ac:dyDescent="0.2">
      <c r="A3" s="109"/>
      <c r="B3" s="20" t="s">
        <v>319</v>
      </c>
      <c r="F3" s="15" t="s">
        <v>320</v>
      </c>
      <c r="G3" s="7" t="s">
        <v>321</v>
      </c>
      <c r="V3" s="1" t="s">
        <v>322</v>
      </c>
      <c r="W3" s="1" t="s">
        <v>323</v>
      </c>
      <c r="X3" s="1" t="s">
        <v>324</v>
      </c>
      <c r="Y3" s="1" t="s">
        <v>324</v>
      </c>
      <c r="Z3" s="1" t="s">
        <v>325</v>
      </c>
      <c r="AA3" s="1" t="s">
        <v>323</v>
      </c>
      <c r="AB3" s="1" t="s">
        <v>324</v>
      </c>
      <c r="AC3" s="1" t="s">
        <v>325</v>
      </c>
      <c r="AF3" s="1" t="s">
        <v>322</v>
      </c>
      <c r="AG3" s="1" t="s">
        <v>323</v>
      </c>
      <c r="AH3" s="1" t="s">
        <v>324</v>
      </c>
      <c r="AI3" s="1" t="s">
        <v>325</v>
      </c>
      <c r="AJ3" s="1" t="s">
        <v>322</v>
      </c>
      <c r="AK3" s="1" t="s">
        <v>323</v>
      </c>
      <c r="AL3" s="1" t="s">
        <v>324</v>
      </c>
      <c r="AM3" s="1" t="s">
        <v>325</v>
      </c>
      <c r="AP3" s="1" t="s">
        <v>322</v>
      </c>
      <c r="AQ3" s="1" t="s">
        <v>323</v>
      </c>
      <c r="AR3" s="1" t="s">
        <v>324</v>
      </c>
      <c r="AS3" s="1" t="s">
        <v>325</v>
      </c>
      <c r="AT3" s="1" t="s">
        <v>322</v>
      </c>
      <c r="AU3" s="1" t="s">
        <v>323</v>
      </c>
      <c r="AV3" s="1" t="s">
        <v>324</v>
      </c>
      <c r="AW3" s="1" t="s">
        <v>325</v>
      </c>
    </row>
    <row r="4" spans="1:49" x14ac:dyDescent="0.2">
      <c r="A4" s="109"/>
      <c r="G4" s="7" t="s">
        <v>326</v>
      </c>
      <c r="Q4" s="111" t="s">
        <v>327</v>
      </c>
      <c r="R4" s="111" t="s">
        <v>328</v>
      </c>
      <c r="S4" s="111" t="s">
        <v>329</v>
      </c>
      <c r="T4" s="111" t="s">
        <v>330</v>
      </c>
      <c r="U4" s="111" t="s">
        <v>331</v>
      </c>
      <c r="AE4" s="112"/>
      <c r="AO4" s="112">
        <f>+AVERAGE(AT4:AV4)</f>
        <v>55</v>
      </c>
      <c r="AQ4" s="1">
        <v>0.09</v>
      </c>
      <c r="AU4" s="1">
        <v>55</v>
      </c>
    </row>
    <row r="5" spans="1:49" ht="15" x14ac:dyDescent="0.2">
      <c r="A5" s="109"/>
      <c r="B5" s="9" t="s">
        <v>332</v>
      </c>
      <c r="F5" s="15" t="s">
        <v>333</v>
      </c>
      <c r="Q5" s="16">
        <f>+V5</f>
        <v>0.12</v>
      </c>
      <c r="R5" s="16">
        <v>0.16</v>
      </c>
      <c r="S5" s="113">
        <f>+AO5</f>
        <v>53.933333333333337</v>
      </c>
      <c r="T5" s="114">
        <f>+AE5</f>
        <v>58.166666666666664</v>
      </c>
      <c r="U5" s="115">
        <f>+AVERAGE(Z5:AB5)</f>
        <v>61.166666666666664</v>
      </c>
      <c r="V5" s="1">
        <v>0.12</v>
      </c>
      <c r="W5" s="1">
        <v>0.12</v>
      </c>
      <c r="X5" s="1">
        <v>0.12</v>
      </c>
      <c r="Y5" s="1">
        <v>0.12</v>
      </c>
      <c r="Z5" s="1">
        <v>64.5</v>
      </c>
      <c r="AA5" s="1">
        <v>64</v>
      </c>
      <c r="AB5" s="1">
        <v>55</v>
      </c>
      <c r="AC5" s="1">
        <v>55.5</v>
      </c>
      <c r="AE5" s="116">
        <f t="shared" ref="AE5:AE36" si="0">+AVERAGE(AJ5:AL5)</f>
        <v>58.166666666666664</v>
      </c>
      <c r="AF5" s="1">
        <v>0.12</v>
      </c>
      <c r="AG5" s="1">
        <v>0.12</v>
      </c>
      <c r="AH5" s="1">
        <v>0.12</v>
      </c>
      <c r="AI5" s="1">
        <v>0.12</v>
      </c>
      <c r="AJ5" s="1">
        <v>61.5</v>
      </c>
      <c r="AK5" s="1">
        <v>61</v>
      </c>
      <c r="AL5" s="1">
        <v>52</v>
      </c>
      <c r="AM5" s="1">
        <v>53</v>
      </c>
      <c r="AO5" s="117">
        <f>+AVERAGE(AT5:AV5)</f>
        <v>53.933333333333337</v>
      </c>
      <c r="AP5" s="1">
        <v>0.12</v>
      </c>
      <c r="AQ5" s="1">
        <v>0.12</v>
      </c>
      <c r="AR5" s="1">
        <v>0.12</v>
      </c>
      <c r="AS5" s="1">
        <v>0.12</v>
      </c>
      <c r="AT5" s="1">
        <v>58.5</v>
      </c>
      <c r="AU5" s="1">
        <v>57</v>
      </c>
      <c r="AV5" s="1">
        <v>46.3</v>
      </c>
      <c r="AW5" s="1">
        <v>50.5</v>
      </c>
    </row>
    <row r="6" spans="1:49" x14ac:dyDescent="0.2">
      <c r="A6" s="109"/>
      <c r="B6" s="22" t="s">
        <v>334</v>
      </c>
      <c r="C6" s="118" t="s">
        <v>335</v>
      </c>
      <c r="D6" s="21" t="str">
        <f>+EFICIENCIA!P22</f>
        <v>250 HP (185 kW)</v>
      </c>
      <c r="F6" s="1" t="s">
        <v>337</v>
      </c>
      <c r="G6" s="1" t="s">
        <v>327</v>
      </c>
      <c r="H6" s="1" t="s">
        <v>338</v>
      </c>
      <c r="I6" s="1" t="s">
        <v>329</v>
      </c>
      <c r="J6" s="119" t="s">
        <v>330</v>
      </c>
      <c r="K6" s="119" t="s">
        <v>331</v>
      </c>
      <c r="Q6" s="16">
        <f>+V6</f>
        <v>0.18</v>
      </c>
      <c r="R6" s="16">
        <v>0.25</v>
      </c>
      <c r="S6" s="113">
        <f>+AO6</f>
        <v>59.333333333333336</v>
      </c>
      <c r="T6" s="114">
        <f>+AE6</f>
        <v>63.333333333333336</v>
      </c>
      <c r="U6" s="115">
        <f>+AVERAGE(Z6:AB6)</f>
        <v>66.5</v>
      </c>
      <c r="V6" s="1">
        <v>0.18</v>
      </c>
      <c r="W6" s="1">
        <v>0.18</v>
      </c>
      <c r="X6" s="1">
        <v>0.18</v>
      </c>
      <c r="Y6" s="1">
        <v>0.18</v>
      </c>
      <c r="Z6" s="1">
        <v>68</v>
      </c>
      <c r="AA6" s="1">
        <v>70</v>
      </c>
      <c r="AB6" s="1">
        <v>61.5</v>
      </c>
      <c r="AC6" s="1">
        <v>59</v>
      </c>
      <c r="AE6" s="116">
        <f t="shared" si="0"/>
        <v>63.333333333333336</v>
      </c>
      <c r="AF6" s="1">
        <v>0.18</v>
      </c>
      <c r="AG6" s="1">
        <v>0.18</v>
      </c>
      <c r="AH6" s="1">
        <v>0.18</v>
      </c>
      <c r="AI6" s="1">
        <v>0.18</v>
      </c>
      <c r="AJ6" s="1">
        <v>65</v>
      </c>
      <c r="AK6" s="1">
        <v>67</v>
      </c>
      <c r="AL6" s="1">
        <v>58</v>
      </c>
      <c r="AM6" s="1">
        <v>56</v>
      </c>
      <c r="AO6" s="117">
        <f t="shared" ref="AO6:AO36" si="1">+AVERAGE(AT6:AV6)</f>
        <v>59.333333333333336</v>
      </c>
      <c r="AP6" s="1">
        <v>0.18</v>
      </c>
      <c r="AQ6" s="1">
        <v>0.18</v>
      </c>
      <c r="AR6" s="1">
        <v>0.18</v>
      </c>
      <c r="AS6" s="1">
        <v>0.18</v>
      </c>
      <c r="AT6" s="1">
        <v>62</v>
      </c>
      <c r="AU6" s="1">
        <v>64</v>
      </c>
      <c r="AV6" s="1">
        <v>52</v>
      </c>
      <c r="AW6" s="1">
        <v>53</v>
      </c>
    </row>
    <row r="7" spans="1:49" x14ac:dyDescent="0.2">
      <c r="A7" s="109"/>
      <c r="B7" s="22" t="s">
        <v>339</v>
      </c>
      <c r="C7" s="118" t="s">
        <v>53</v>
      </c>
      <c r="D7" s="21">
        <f>+EFICIENCIA!P23</f>
        <v>9</v>
      </c>
      <c r="F7" s="120" t="s">
        <v>340</v>
      </c>
      <c r="G7" s="121">
        <v>0.12</v>
      </c>
      <c r="H7" s="12">
        <f>+I7-5</f>
        <v>48.933333333333337</v>
      </c>
      <c r="I7" s="121">
        <v>53.933333333333337</v>
      </c>
      <c r="J7" s="121">
        <v>58.166666666666664</v>
      </c>
      <c r="K7" s="121">
        <v>61.166666666666664</v>
      </c>
      <c r="Q7" s="16">
        <f>+V7</f>
        <v>0.25</v>
      </c>
      <c r="R7" s="16">
        <v>0.33</v>
      </c>
      <c r="S7" s="113">
        <f>+AO7</f>
        <v>62.666666666666664</v>
      </c>
      <c r="T7" s="114">
        <f>+AE7</f>
        <v>66.333333333333329</v>
      </c>
      <c r="U7" s="115">
        <f>+AVERAGE(Z7:AB7)</f>
        <v>69.333333333333329</v>
      </c>
      <c r="V7" s="1">
        <v>0.25</v>
      </c>
      <c r="W7" s="1">
        <v>0.25</v>
      </c>
      <c r="X7" s="1">
        <v>0.25</v>
      </c>
      <c r="Y7" s="1">
        <v>0.25</v>
      </c>
      <c r="Z7" s="1">
        <v>70</v>
      </c>
      <c r="AA7" s="1">
        <v>73</v>
      </c>
      <c r="AB7" s="1">
        <v>65</v>
      </c>
      <c r="AC7" s="1">
        <v>61</v>
      </c>
      <c r="AE7" s="116">
        <f t="shared" si="0"/>
        <v>66.333333333333329</v>
      </c>
      <c r="AF7" s="1">
        <v>0.25</v>
      </c>
      <c r="AG7" s="1">
        <v>0.25</v>
      </c>
      <c r="AH7" s="1">
        <v>0.25</v>
      </c>
      <c r="AI7" s="1">
        <v>0.25</v>
      </c>
      <c r="AJ7" s="1">
        <v>67</v>
      </c>
      <c r="AK7" s="1">
        <v>70</v>
      </c>
      <c r="AL7" s="1">
        <v>62</v>
      </c>
      <c r="AM7" s="1">
        <v>59</v>
      </c>
      <c r="AO7" s="117">
        <f t="shared" si="1"/>
        <v>62.666666666666664</v>
      </c>
      <c r="AP7" s="1">
        <v>0.25</v>
      </c>
      <c r="AQ7" s="1">
        <v>0.25</v>
      </c>
      <c r="AR7" s="1">
        <v>0.25</v>
      </c>
      <c r="AS7" s="1">
        <v>0.25</v>
      </c>
      <c r="AT7" s="1">
        <v>63</v>
      </c>
      <c r="AU7" s="1">
        <v>67</v>
      </c>
      <c r="AV7" s="1">
        <v>58</v>
      </c>
      <c r="AW7" s="1">
        <v>56</v>
      </c>
    </row>
    <row r="8" spans="1:49" x14ac:dyDescent="0.2">
      <c r="A8" s="109"/>
      <c r="B8" s="22" t="s">
        <v>341</v>
      </c>
      <c r="C8" s="118" t="s">
        <v>342</v>
      </c>
      <c r="D8" s="21" t="str">
        <f>+EFICIENCIA!P24</f>
        <v>IE2</v>
      </c>
      <c r="F8" s="120" t="s">
        <v>343</v>
      </c>
      <c r="G8" s="121">
        <v>0.18</v>
      </c>
      <c r="H8" s="12">
        <f t="shared" ref="H8:H36" si="2">+I8-5</f>
        <v>54.333333333333336</v>
      </c>
      <c r="I8" s="121">
        <v>59.333333333333336</v>
      </c>
      <c r="J8" s="121">
        <v>63.333333333333336</v>
      </c>
      <c r="K8" s="121">
        <v>66.5</v>
      </c>
      <c r="Q8" s="16">
        <f>+V8</f>
        <v>0.37</v>
      </c>
      <c r="R8" s="16">
        <v>0.5</v>
      </c>
      <c r="S8" s="113">
        <f>+AO8</f>
        <v>64.333333333333329</v>
      </c>
      <c r="T8" s="114">
        <f>+AE8</f>
        <v>68.666666666666671</v>
      </c>
      <c r="U8" s="115">
        <f>+AVERAGE(Z8:AB8)</f>
        <v>71.666666666666671</v>
      </c>
      <c r="V8" s="1">
        <v>0.37</v>
      </c>
      <c r="W8" s="1">
        <v>0.37</v>
      </c>
      <c r="X8" s="1">
        <v>0.37</v>
      </c>
      <c r="Y8" s="1">
        <v>0.37</v>
      </c>
      <c r="Z8" s="1">
        <v>73</v>
      </c>
      <c r="AA8" s="1">
        <v>75</v>
      </c>
      <c r="AB8" s="1">
        <v>67</v>
      </c>
      <c r="AC8" s="1">
        <v>67</v>
      </c>
      <c r="AE8" s="116">
        <f t="shared" si="0"/>
        <v>68.666666666666671</v>
      </c>
      <c r="AF8" s="1">
        <v>0.37</v>
      </c>
      <c r="AG8" s="1">
        <v>0.37</v>
      </c>
      <c r="AH8" s="1">
        <v>0.37</v>
      </c>
      <c r="AI8" s="1">
        <v>0.37</v>
      </c>
      <c r="AJ8" s="1">
        <v>70</v>
      </c>
      <c r="AK8" s="1">
        <v>72</v>
      </c>
      <c r="AL8" s="1">
        <v>64</v>
      </c>
      <c r="AM8" s="1">
        <v>65</v>
      </c>
      <c r="AO8" s="117">
        <f t="shared" si="1"/>
        <v>64.333333333333329</v>
      </c>
      <c r="AP8" s="1">
        <v>0.37</v>
      </c>
      <c r="AQ8" s="1">
        <v>0.37</v>
      </c>
      <c r="AR8" s="1">
        <v>0.37</v>
      </c>
      <c r="AS8" s="1">
        <v>0.37</v>
      </c>
      <c r="AT8" s="1">
        <v>66</v>
      </c>
      <c r="AU8" s="1">
        <v>68</v>
      </c>
      <c r="AV8" s="1">
        <v>59</v>
      </c>
      <c r="AW8" s="1">
        <v>62</v>
      </c>
    </row>
    <row r="9" spans="1:49" ht="15" x14ac:dyDescent="0.2">
      <c r="A9" s="109"/>
      <c r="B9" s="23" t="s">
        <v>22</v>
      </c>
      <c r="C9" s="122" t="s">
        <v>29</v>
      </c>
      <c r="D9" s="21">
        <f>+EFICIENCIA!P25</f>
        <v>8</v>
      </c>
      <c r="F9" s="120" t="s">
        <v>344</v>
      </c>
      <c r="G9" s="121">
        <v>0.25</v>
      </c>
      <c r="H9" s="12">
        <f t="shared" si="2"/>
        <v>57.666666666666664</v>
      </c>
      <c r="I9" s="121">
        <v>62.666666666666664</v>
      </c>
      <c r="J9" s="121">
        <v>66.333333333333329</v>
      </c>
      <c r="K9" s="121">
        <v>69.333333333333329</v>
      </c>
      <c r="Q9" s="16">
        <f>+V9</f>
        <v>0.55000000000000004</v>
      </c>
      <c r="R9" s="16">
        <v>0.75</v>
      </c>
      <c r="S9" s="113">
        <f>+AO9</f>
        <v>69.333333333333329</v>
      </c>
      <c r="T9" s="114">
        <f>+AE9</f>
        <v>72.666666666666671</v>
      </c>
      <c r="U9" s="115">
        <f>+AVERAGE(Z9:AB9)</f>
        <v>75.333333333333329</v>
      </c>
      <c r="V9" s="1">
        <v>0.55000000000000004</v>
      </c>
      <c r="W9" s="1">
        <v>0.55000000000000004</v>
      </c>
      <c r="X9" s="1">
        <v>0.55000000000000004</v>
      </c>
      <c r="Y9" s="1">
        <v>0.55000000000000004</v>
      </c>
      <c r="Z9" s="1">
        <v>76</v>
      </c>
      <c r="AA9" s="1">
        <v>77.5</v>
      </c>
      <c r="AB9" s="1">
        <v>72.5</v>
      </c>
      <c r="AC9" s="1">
        <v>68.5</v>
      </c>
      <c r="AE9" s="116">
        <f t="shared" si="0"/>
        <v>72.666666666666671</v>
      </c>
      <c r="AF9" s="1">
        <v>0.55000000000000004</v>
      </c>
      <c r="AG9" s="1">
        <v>0.55000000000000004</v>
      </c>
      <c r="AH9" s="1">
        <v>0.55000000000000004</v>
      </c>
      <c r="AI9" s="1">
        <v>0.55000000000000004</v>
      </c>
      <c r="AJ9" s="1">
        <v>73</v>
      </c>
      <c r="AK9" s="1">
        <v>75</v>
      </c>
      <c r="AL9" s="1">
        <v>70</v>
      </c>
      <c r="AM9" s="1">
        <v>66</v>
      </c>
      <c r="AO9" s="117">
        <f t="shared" si="1"/>
        <v>69.333333333333329</v>
      </c>
      <c r="AP9" s="1">
        <v>0.55000000000000004</v>
      </c>
      <c r="AQ9" s="1">
        <v>0.55000000000000004</v>
      </c>
      <c r="AR9" s="1">
        <v>0.55000000000000004</v>
      </c>
      <c r="AS9" s="1">
        <v>0.55000000000000004</v>
      </c>
      <c r="AT9" s="1">
        <v>70</v>
      </c>
      <c r="AU9" s="1">
        <v>72</v>
      </c>
      <c r="AV9" s="1">
        <v>66</v>
      </c>
      <c r="AW9" s="1">
        <v>63</v>
      </c>
    </row>
    <row r="10" spans="1:49" ht="15" x14ac:dyDescent="0.2">
      <c r="A10" s="109"/>
      <c r="B10" s="23" t="s">
        <v>21</v>
      </c>
      <c r="C10" s="122" t="s">
        <v>345</v>
      </c>
      <c r="D10" s="21" t="str">
        <f>+EFICIENCIA!P26</f>
        <v>&gt; 5 años o con reparaciones</v>
      </c>
      <c r="F10" s="120" t="s">
        <v>347</v>
      </c>
      <c r="G10" s="121">
        <v>0.37</v>
      </c>
      <c r="H10" s="12">
        <f t="shared" si="2"/>
        <v>59.333333333333329</v>
      </c>
      <c r="I10" s="121">
        <v>64.333333333333329</v>
      </c>
      <c r="J10" s="121">
        <v>68.666666666666671</v>
      </c>
      <c r="K10" s="121">
        <v>71.666666666666671</v>
      </c>
      <c r="Q10" s="16"/>
      <c r="R10" s="16"/>
      <c r="S10" s="113"/>
      <c r="T10" s="114"/>
      <c r="U10" s="115"/>
      <c r="AE10" s="116"/>
      <c r="AO10" s="117"/>
    </row>
    <row r="11" spans="1:49" ht="15" x14ac:dyDescent="0.2">
      <c r="A11" s="109"/>
      <c r="B11" s="15" t="s">
        <v>348</v>
      </c>
      <c r="C11" s="10"/>
      <c r="F11" s="120" t="s">
        <v>336</v>
      </c>
      <c r="G11" s="121">
        <v>0.55000000000000004</v>
      </c>
      <c r="H11" s="12">
        <f t="shared" si="2"/>
        <v>64.333333333333329</v>
      </c>
      <c r="I11" s="121">
        <v>69.333333333333329</v>
      </c>
      <c r="J11" s="121">
        <v>72.666666666666671</v>
      </c>
      <c r="K11" s="121">
        <v>75.333333333333329</v>
      </c>
      <c r="Q11" s="16"/>
      <c r="R11" s="16"/>
      <c r="S11" s="113"/>
      <c r="T11" s="114"/>
      <c r="U11" s="115"/>
      <c r="AE11" s="116"/>
      <c r="AO11" s="117"/>
    </row>
    <row r="12" spans="1:49" x14ac:dyDescent="0.2">
      <c r="A12" s="109"/>
      <c r="B12" s="622" t="s">
        <v>21</v>
      </c>
      <c r="C12" s="10" t="s">
        <v>30</v>
      </c>
      <c r="D12" s="1" t="s">
        <v>349</v>
      </c>
      <c r="F12" s="120" t="s">
        <v>350</v>
      </c>
      <c r="G12" s="121">
        <v>0.75</v>
      </c>
      <c r="H12" s="12">
        <f t="shared" si="2"/>
        <v>71.100000000000009</v>
      </c>
      <c r="I12" s="121">
        <v>76.100000000000009</v>
      </c>
      <c r="J12" s="121">
        <v>81.2</v>
      </c>
      <c r="K12" s="121">
        <v>83.5</v>
      </c>
      <c r="Q12" s="16">
        <f t="shared" ref="Q12:Q36" si="3">+V12</f>
        <v>0.75</v>
      </c>
      <c r="R12" s="123">
        <v>1</v>
      </c>
      <c r="S12" s="113">
        <f t="shared" ref="S12:S36" si="4">+AO12</f>
        <v>76.100000000000009</v>
      </c>
      <c r="T12" s="114">
        <f t="shared" ref="T12:T36" si="5">+AE12</f>
        <v>81.2</v>
      </c>
      <c r="U12" s="115">
        <f t="shared" ref="U12:U36" si="6">+AVERAGE(Z12:AB12)</f>
        <v>83.5</v>
      </c>
      <c r="V12" s="1">
        <v>0.75</v>
      </c>
      <c r="W12" s="1">
        <v>0.75</v>
      </c>
      <c r="X12" s="1">
        <v>0.75</v>
      </c>
      <c r="Y12" s="1">
        <v>0.75</v>
      </c>
      <c r="Z12" s="1">
        <v>82.5</v>
      </c>
      <c r="AA12" s="1">
        <v>85.5</v>
      </c>
      <c r="AB12" s="1">
        <v>82.5</v>
      </c>
      <c r="AC12" s="1">
        <v>72</v>
      </c>
      <c r="AE12" s="116">
        <f t="shared" si="0"/>
        <v>81.2</v>
      </c>
      <c r="AF12" s="1">
        <v>0.75</v>
      </c>
      <c r="AG12" s="1">
        <v>0.75</v>
      </c>
      <c r="AH12" s="1">
        <v>0.75</v>
      </c>
      <c r="AI12" s="1">
        <v>0.75</v>
      </c>
      <c r="AJ12" s="1">
        <v>80.5</v>
      </c>
      <c r="AK12" s="1">
        <v>82.6</v>
      </c>
      <c r="AL12" s="1">
        <v>80.5</v>
      </c>
      <c r="AM12" s="1">
        <v>70</v>
      </c>
      <c r="AO12" s="117">
        <f t="shared" si="1"/>
        <v>76.100000000000009</v>
      </c>
      <c r="AP12" s="1">
        <v>0.75</v>
      </c>
      <c r="AQ12" s="1">
        <v>0.75</v>
      </c>
      <c r="AR12" s="1">
        <v>0.75</v>
      </c>
      <c r="AS12" s="1">
        <v>0.75</v>
      </c>
      <c r="AT12" s="1">
        <v>77.099999999999994</v>
      </c>
      <c r="AU12" s="1">
        <v>78.2</v>
      </c>
      <c r="AV12" s="1">
        <v>73</v>
      </c>
      <c r="AW12" s="1">
        <v>66</v>
      </c>
    </row>
    <row r="13" spans="1:49" x14ac:dyDescent="0.2">
      <c r="A13" s="109"/>
      <c r="B13" s="623"/>
      <c r="C13" s="124" t="s">
        <v>351</v>
      </c>
      <c r="D13" s="1" t="s">
        <v>352</v>
      </c>
      <c r="F13" s="120" t="s">
        <v>353</v>
      </c>
      <c r="G13" s="121">
        <v>1.1000000000000001</v>
      </c>
      <c r="H13" s="12">
        <f t="shared" si="2"/>
        <v>72.63333333333334</v>
      </c>
      <c r="I13" s="121">
        <v>77.63333333333334</v>
      </c>
      <c r="J13" s="121">
        <v>84.033333333333331</v>
      </c>
      <c r="K13" s="121">
        <v>86.2</v>
      </c>
      <c r="Q13" s="125">
        <f t="shared" si="3"/>
        <v>1.1000000000000001</v>
      </c>
      <c r="R13" s="123">
        <v>1.5</v>
      </c>
      <c r="S13" s="113">
        <f t="shared" si="4"/>
        <v>77.63333333333334</v>
      </c>
      <c r="T13" s="114">
        <f t="shared" si="5"/>
        <v>84.033333333333331</v>
      </c>
      <c r="U13" s="115">
        <f t="shared" si="6"/>
        <v>86.2</v>
      </c>
      <c r="V13" s="1">
        <v>1.1000000000000001</v>
      </c>
      <c r="W13" s="1">
        <v>1.1000000000000001</v>
      </c>
      <c r="X13" s="1">
        <v>1.1000000000000001</v>
      </c>
      <c r="Y13" s="1">
        <v>1.1000000000000001</v>
      </c>
      <c r="Z13" s="1">
        <v>84.6</v>
      </c>
      <c r="AA13" s="1">
        <v>86.5</v>
      </c>
      <c r="AB13" s="1">
        <v>87.5</v>
      </c>
      <c r="AC13" s="1">
        <v>81.599999999999994</v>
      </c>
      <c r="AE13" s="116">
        <f t="shared" si="0"/>
        <v>84.033333333333331</v>
      </c>
      <c r="AF13" s="1">
        <v>1.1000000000000001</v>
      </c>
      <c r="AG13" s="1">
        <v>1.1000000000000001</v>
      </c>
      <c r="AH13" s="1">
        <v>1.1000000000000001</v>
      </c>
      <c r="AI13" s="1">
        <v>1.1000000000000001</v>
      </c>
      <c r="AJ13" s="1">
        <v>82.6</v>
      </c>
      <c r="AK13" s="1">
        <v>84</v>
      </c>
      <c r="AL13" s="1">
        <v>85.5</v>
      </c>
      <c r="AM13" s="1">
        <v>78</v>
      </c>
      <c r="AO13" s="117">
        <f t="shared" si="1"/>
        <v>77.63333333333334</v>
      </c>
      <c r="AP13" s="1">
        <v>1.1000000000000001</v>
      </c>
      <c r="AQ13" s="1">
        <v>1.1000000000000001</v>
      </c>
      <c r="AR13" s="1">
        <v>1.1000000000000001</v>
      </c>
      <c r="AS13" s="1">
        <v>1.1000000000000001</v>
      </c>
      <c r="AT13" s="1">
        <v>78.599999999999994</v>
      </c>
      <c r="AU13" s="1">
        <v>79.2</v>
      </c>
      <c r="AV13" s="1">
        <v>75.099999999999994</v>
      </c>
      <c r="AW13" s="1">
        <v>74.5</v>
      </c>
    </row>
    <row r="14" spans="1:49" x14ac:dyDescent="0.2">
      <c r="A14" s="109"/>
      <c r="B14" s="624"/>
      <c r="C14" s="124" t="s">
        <v>346</v>
      </c>
      <c r="D14" s="1" t="s">
        <v>354</v>
      </c>
      <c r="F14" s="120" t="s">
        <v>355</v>
      </c>
      <c r="G14" s="121">
        <v>1.5</v>
      </c>
      <c r="H14" s="12">
        <f t="shared" si="2"/>
        <v>75.399999999999991</v>
      </c>
      <c r="I14" s="121">
        <v>80.399999999999991</v>
      </c>
      <c r="J14" s="121">
        <v>84.899999999999991</v>
      </c>
      <c r="K14" s="121">
        <v>86.899999999999991</v>
      </c>
      <c r="Q14" s="125">
        <f t="shared" si="3"/>
        <v>1.5</v>
      </c>
      <c r="R14" s="123">
        <v>2</v>
      </c>
      <c r="S14" s="113">
        <f t="shared" si="4"/>
        <v>80.399999999999991</v>
      </c>
      <c r="T14" s="114">
        <f t="shared" si="5"/>
        <v>84.899999999999991</v>
      </c>
      <c r="U14" s="115">
        <f t="shared" si="6"/>
        <v>86.899999999999991</v>
      </c>
      <c r="V14" s="1">
        <v>1.5</v>
      </c>
      <c r="W14" s="1">
        <v>1.5</v>
      </c>
      <c r="X14" s="1">
        <v>1.5</v>
      </c>
      <c r="Y14" s="1">
        <v>1.5</v>
      </c>
      <c r="Z14" s="1">
        <v>85.7</v>
      </c>
      <c r="AA14" s="1">
        <v>86.5</v>
      </c>
      <c r="AB14" s="1">
        <v>88.5</v>
      </c>
      <c r="AC14" s="1">
        <v>84.5</v>
      </c>
      <c r="AE14" s="116">
        <f t="shared" si="0"/>
        <v>84.899999999999991</v>
      </c>
      <c r="AF14" s="1">
        <v>1.5</v>
      </c>
      <c r="AG14" s="1">
        <v>1.5</v>
      </c>
      <c r="AH14" s="1">
        <v>1.5</v>
      </c>
      <c r="AI14" s="1">
        <v>1.5</v>
      </c>
      <c r="AJ14" s="1">
        <v>84</v>
      </c>
      <c r="AK14" s="1">
        <v>84.2</v>
      </c>
      <c r="AL14" s="1">
        <v>86.5</v>
      </c>
      <c r="AM14" s="1">
        <v>83.5</v>
      </c>
      <c r="AO14" s="117">
        <f t="shared" si="1"/>
        <v>80.399999999999991</v>
      </c>
      <c r="AP14" s="1">
        <v>1.5</v>
      </c>
      <c r="AQ14" s="1">
        <v>1.5</v>
      </c>
      <c r="AR14" s="1">
        <v>1.5</v>
      </c>
      <c r="AS14" s="1">
        <v>1.5</v>
      </c>
      <c r="AT14" s="1">
        <v>81.2</v>
      </c>
      <c r="AU14" s="1">
        <v>82</v>
      </c>
      <c r="AV14" s="1">
        <v>78</v>
      </c>
      <c r="AW14" s="1">
        <v>78</v>
      </c>
    </row>
    <row r="15" spans="1:49" ht="15" x14ac:dyDescent="0.2">
      <c r="A15" s="109"/>
      <c r="B15" s="11" t="s">
        <v>31</v>
      </c>
      <c r="C15" s="8" t="s">
        <v>37</v>
      </c>
      <c r="D15" s="1">
        <v>260</v>
      </c>
      <c r="F15" s="120" t="s">
        <v>356</v>
      </c>
      <c r="G15" s="121">
        <v>2.2000000000000002</v>
      </c>
      <c r="H15" s="12">
        <f t="shared" si="2"/>
        <v>76.3</v>
      </c>
      <c r="I15" s="121">
        <v>81.3</v>
      </c>
      <c r="J15" s="121">
        <v>86.5</v>
      </c>
      <c r="K15" s="121">
        <v>88.5</v>
      </c>
      <c r="Q15" s="125">
        <f t="shared" si="3"/>
        <v>2.2000000000000002</v>
      </c>
      <c r="R15" s="123">
        <v>3</v>
      </c>
      <c r="S15" s="113">
        <f t="shared" si="4"/>
        <v>81.3</v>
      </c>
      <c r="T15" s="114">
        <f t="shared" si="5"/>
        <v>86.5</v>
      </c>
      <c r="U15" s="115">
        <f t="shared" si="6"/>
        <v>88.5</v>
      </c>
      <c r="V15" s="1">
        <v>2.2000000000000002</v>
      </c>
      <c r="W15" s="1">
        <v>2.2000000000000002</v>
      </c>
      <c r="X15" s="1">
        <v>2.2000000000000002</v>
      </c>
      <c r="Y15" s="1">
        <v>2.2000000000000002</v>
      </c>
      <c r="Z15" s="1">
        <v>86.5</v>
      </c>
      <c r="AA15" s="1">
        <v>89.5</v>
      </c>
      <c r="AB15" s="1">
        <v>89.5</v>
      </c>
      <c r="AC15" s="1">
        <v>86.5</v>
      </c>
      <c r="AE15" s="116">
        <f t="shared" si="0"/>
        <v>86.5</v>
      </c>
      <c r="AF15" s="1">
        <v>2.2000000000000002</v>
      </c>
      <c r="AH15" s="1">
        <v>2.2000000000000002</v>
      </c>
      <c r="AI15" s="1">
        <v>2.2000000000000002</v>
      </c>
      <c r="AJ15" s="1">
        <v>85.5</v>
      </c>
      <c r="AL15" s="1">
        <v>87.5</v>
      </c>
      <c r="AM15" s="1">
        <v>84.5</v>
      </c>
      <c r="AO15" s="117">
        <f t="shared" si="1"/>
        <v>81.3</v>
      </c>
      <c r="AP15" s="1">
        <v>2.2000000000000002</v>
      </c>
      <c r="AQ15" s="1">
        <v>2.2000000000000002</v>
      </c>
      <c r="AR15" s="1">
        <v>2.2000000000000002</v>
      </c>
      <c r="AS15" s="1">
        <v>2.2000000000000002</v>
      </c>
      <c r="AT15" s="1">
        <v>82.2</v>
      </c>
      <c r="AU15" s="1">
        <v>83.1</v>
      </c>
      <c r="AV15" s="1">
        <v>78.599999999999994</v>
      </c>
      <c r="AW15" s="1">
        <v>79</v>
      </c>
    </row>
    <row r="16" spans="1:49" ht="15" x14ac:dyDescent="0.2">
      <c r="A16" s="109"/>
      <c r="B16" s="11" t="s">
        <v>34</v>
      </c>
      <c r="C16" s="8" t="s">
        <v>38</v>
      </c>
      <c r="D16" s="1">
        <v>0.29530000000000001</v>
      </c>
      <c r="F16" s="120" t="s">
        <v>357</v>
      </c>
      <c r="G16" s="121">
        <v>3</v>
      </c>
      <c r="H16" s="12">
        <f t="shared" si="2"/>
        <v>78.2</v>
      </c>
      <c r="I16" s="121">
        <v>83.2</v>
      </c>
      <c r="J16" s="121">
        <v>87.5</v>
      </c>
      <c r="K16" s="121">
        <v>89.166666666666671</v>
      </c>
      <c r="Q16" s="125">
        <f t="shared" si="3"/>
        <v>3</v>
      </c>
      <c r="R16" s="123">
        <v>4</v>
      </c>
      <c r="S16" s="113">
        <f t="shared" si="4"/>
        <v>83.2</v>
      </c>
      <c r="T16" s="114">
        <f t="shared" si="5"/>
        <v>87.5</v>
      </c>
      <c r="U16" s="115">
        <f t="shared" si="6"/>
        <v>89.166666666666671</v>
      </c>
      <c r="V16" s="1">
        <v>3</v>
      </c>
      <c r="W16" s="1">
        <v>3</v>
      </c>
      <c r="X16" s="1">
        <v>3</v>
      </c>
      <c r="Y16" s="1">
        <v>3</v>
      </c>
      <c r="Z16" s="1">
        <v>88.5</v>
      </c>
      <c r="AA16" s="1">
        <v>89.5</v>
      </c>
      <c r="AB16" s="1">
        <v>89.5</v>
      </c>
      <c r="AC16" s="1">
        <v>86.6</v>
      </c>
      <c r="AE16" s="116">
        <f t="shared" si="0"/>
        <v>87.5</v>
      </c>
      <c r="AF16" s="1">
        <v>3</v>
      </c>
      <c r="AG16" s="1">
        <v>3</v>
      </c>
      <c r="AH16" s="1">
        <v>3</v>
      </c>
      <c r="AI16" s="1">
        <v>3</v>
      </c>
      <c r="AJ16" s="1">
        <v>87.5</v>
      </c>
      <c r="AK16" s="1">
        <v>87.5</v>
      </c>
      <c r="AL16" s="1">
        <v>87.5</v>
      </c>
      <c r="AM16" s="1">
        <v>85.1</v>
      </c>
      <c r="AO16" s="117">
        <f t="shared" si="1"/>
        <v>83.2</v>
      </c>
      <c r="AP16" s="1">
        <v>3</v>
      </c>
      <c r="AQ16" s="1">
        <v>3</v>
      </c>
      <c r="AR16" s="1">
        <v>3</v>
      </c>
      <c r="AS16" s="1">
        <v>3</v>
      </c>
      <c r="AT16" s="1">
        <v>84</v>
      </c>
      <c r="AU16" s="1">
        <v>84.1</v>
      </c>
      <c r="AV16" s="1">
        <v>81.5</v>
      </c>
      <c r="AW16" s="1">
        <v>81.5</v>
      </c>
    </row>
    <row r="17" spans="1:49" x14ac:dyDescent="0.2">
      <c r="A17" s="109"/>
      <c r="B17" s="7" t="s">
        <v>41</v>
      </c>
      <c r="C17" s="8" t="s">
        <v>43</v>
      </c>
      <c r="D17" s="1">
        <v>16.399999999999999</v>
      </c>
      <c r="F17" s="120" t="s">
        <v>358</v>
      </c>
      <c r="G17" s="121">
        <v>3.7</v>
      </c>
      <c r="H17" s="12">
        <f t="shared" si="2"/>
        <v>79.600000000000009</v>
      </c>
      <c r="I17" s="121">
        <v>84.600000000000009</v>
      </c>
      <c r="J17" s="121">
        <v>87.766666666666666</v>
      </c>
      <c r="K17" s="121">
        <v>89.2</v>
      </c>
      <c r="Q17" s="125">
        <f t="shared" si="3"/>
        <v>3.7</v>
      </c>
      <c r="R17" s="123">
        <v>5</v>
      </c>
      <c r="S17" s="113">
        <f t="shared" si="4"/>
        <v>84.600000000000009</v>
      </c>
      <c r="T17" s="114">
        <f t="shared" si="5"/>
        <v>87.766666666666666</v>
      </c>
      <c r="U17" s="115">
        <f t="shared" si="6"/>
        <v>89.2</v>
      </c>
      <c r="V17" s="1">
        <v>3.7</v>
      </c>
      <c r="W17" s="1">
        <v>3.7</v>
      </c>
      <c r="X17" s="1">
        <v>3.7</v>
      </c>
      <c r="Y17" s="1">
        <v>3.7</v>
      </c>
      <c r="Z17" s="1">
        <v>88.6</v>
      </c>
      <c r="AA17" s="1">
        <v>89.5</v>
      </c>
      <c r="AB17" s="1">
        <v>89.5</v>
      </c>
      <c r="AC17" s="1">
        <v>86.7</v>
      </c>
      <c r="AE17" s="116">
        <f t="shared" si="0"/>
        <v>87.766666666666666</v>
      </c>
      <c r="AF17" s="1">
        <v>3.7</v>
      </c>
      <c r="AG17" s="1">
        <v>3.7</v>
      </c>
      <c r="AH17" s="1">
        <v>3.7</v>
      </c>
      <c r="AI17" s="1">
        <v>3.7</v>
      </c>
      <c r="AJ17" s="1">
        <v>87.6</v>
      </c>
      <c r="AK17" s="1">
        <v>88</v>
      </c>
      <c r="AL17" s="1">
        <v>87.7</v>
      </c>
      <c r="AM17" s="1">
        <v>85.6</v>
      </c>
      <c r="AO17" s="117">
        <f t="shared" si="1"/>
        <v>84.600000000000009</v>
      </c>
      <c r="AP17" s="1">
        <v>3.7</v>
      </c>
      <c r="AQ17" s="1">
        <v>3.7</v>
      </c>
      <c r="AR17" s="1">
        <v>3.7</v>
      </c>
      <c r="AS17" s="1">
        <v>3.7</v>
      </c>
      <c r="AT17" s="1">
        <v>84.6</v>
      </c>
      <c r="AU17" s="1">
        <v>85.5</v>
      </c>
      <c r="AV17" s="1">
        <v>83.7</v>
      </c>
      <c r="AW17" s="1">
        <v>82</v>
      </c>
    </row>
    <row r="18" spans="1:49" ht="15" x14ac:dyDescent="0.2">
      <c r="A18" s="109"/>
      <c r="B18" s="15" t="s">
        <v>62</v>
      </c>
      <c r="C18" s="8" t="s">
        <v>45</v>
      </c>
      <c r="D18" s="12">
        <f>+$D$28</f>
        <v>1069.752050209205</v>
      </c>
      <c r="F18" s="120" t="s">
        <v>359</v>
      </c>
      <c r="G18" s="121">
        <v>4.5</v>
      </c>
      <c r="H18" s="12">
        <f t="shared" si="2"/>
        <v>80.666666666666671</v>
      </c>
      <c r="I18" s="121">
        <v>85.666666666666671</v>
      </c>
      <c r="J18" s="121">
        <v>88.333333333333329</v>
      </c>
      <c r="K18" s="121">
        <v>89.5</v>
      </c>
      <c r="Q18" s="125">
        <f t="shared" si="3"/>
        <v>4.5</v>
      </c>
      <c r="R18" s="123">
        <v>6</v>
      </c>
      <c r="S18" s="113">
        <f t="shared" si="4"/>
        <v>85.666666666666671</v>
      </c>
      <c r="T18" s="114">
        <f t="shared" si="5"/>
        <v>88.333333333333329</v>
      </c>
      <c r="U18" s="115">
        <f t="shared" si="6"/>
        <v>89.5</v>
      </c>
      <c r="V18" s="1">
        <v>4.5</v>
      </c>
      <c r="W18" s="1">
        <v>4.5</v>
      </c>
      <c r="X18" s="1">
        <v>4.5</v>
      </c>
      <c r="Y18" s="1">
        <v>4.5</v>
      </c>
      <c r="Z18" s="1">
        <v>89.5</v>
      </c>
      <c r="AA18" s="1">
        <v>89.5</v>
      </c>
      <c r="AB18" s="1">
        <v>89.5</v>
      </c>
      <c r="AC18" s="1">
        <v>88.3</v>
      </c>
      <c r="AE18" s="116">
        <f t="shared" si="0"/>
        <v>88.333333333333329</v>
      </c>
      <c r="AF18" s="1">
        <v>4.5</v>
      </c>
      <c r="AG18" s="1">
        <v>4.5</v>
      </c>
      <c r="AH18" s="1">
        <v>4.5</v>
      </c>
      <c r="AI18" s="1">
        <v>4.5</v>
      </c>
      <c r="AJ18" s="1">
        <v>88.5</v>
      </c>
      <c r="AK18" s="1">
        <v>88.5</v>
      </c>
      <c r="AL18" s="1">
        <v>88</v>
      </c>
      <c r="AM18" s="1">
        <v>87</v>
      </c>
      <c r="AO18" s="117">
        <f t="shared" si="1"/>
        <v>85.666666666666671</v>
      </c>
      <c r="AP18" s="1">
        <v>4.5</v>
      </c>
      <c r="AQ18" s="1">
        <v>4.5</v>
      </c>
      <c r="AR18" s="1">
        <v>4.5</v>
      </c>
      <c r="AS18" s="1">
        <v>4.5</v>
      </c>
      <c r="AT18" s="1">
        <v>86.5</v>
      </c>
      <c r="AU18" s="1">
        <v>86.2</v>
      </c>
      <c r="AV18" s="1">
        <v>84.3</v>
      </c>
      <c r="AW18" s="1">
        <v>84.5</v>
      </c>
    </row>
    <row r="19" spans="1:49" x14ac:dyDescent="0.2">
      <c r="A19" s="109"/>
      <c r="C19" s="8" t="s">
        <v>46</v>
      </c>
      <c r="D19" s="121">
        <f>+D29</f>
        <v>70.786566891166771</v>
      </c>
      <c r="E19" s="12"/>
      <c r="F19" s="120" t="s">
        <v>360</v>
      </c>
      <c r="G19" s="121">
        <v>5.5</v>
      </c>
      <c r="H19" s="12">
        <f t="shared" si="2"/>
        <v>81.3</v>
      </c>
      <c r="I19" s="121">
        <v>86.3</v>
      </c>
      <c r="J19" s="121">
        <v>89.399999999999991</v>
      </c>
      <c r="K19" s="121">
        <v>90.7</v>
      </c>
      <c r="Q19" s="125">
        <f t="shared" si="3"/>
        <v>5.5</v>
      </c>
      <c r="R19" s="123">
        <v>7.5</v>
      </c>
      <c r="S19" s="113">
        <f t="shared" si="4"/>
        <v>86.3</v>
      </c>
      <c r="T19" s="114">
        <f t="shared" si="5"/>
        <v>89.399999999999991</v>
      </c>
      <c r="U19" s="115">
        <f t="shared" si="6"/>
        <v>90.7</v>
      </c>
      <c r="V19" s="1">
        <v>5.5</v>
      </c>
      <c r="W19" s="1">
        <v>5.5</v>
      </c>
      <c r="X19" s="126"/>
      <c r="Y19" s="1">
        <v>5.5</v>
      </c>
      <c r="Z19" s="1">
        <v>89.7</v>
      </c>
      <c r="AA19" s="1">
        <v>91.7</v>
      </c>
      <c r="AB19" s="126"/>
      <c r="AC19" s="1">
        <v>89.8</v>
      </c>
      <c r="AE19" s="116">
        <f t="shared" si="0"/>
        <v>89.399999999999991</v>
      </c>
      <c r="AF19" s="1">
        <v>5.5</v>
      </c>
      <c r="AG19" s="1">
        <v>5.5</v>
      </c>
      <c r="AH19" s="1">
        <v>5.5</v>
      </c>
      <c r="AI19" s="1">
        <v>5.5</v>
      </c>
      <c r="AJ19" s="1">
        <v>88.7</v>
      </c>
      <c r="AK19" s="1">
        <v>90</v>
      </c>
      <c r="AL19" s="1">
        <v>89.5</v>
      </c>
      <c r="AM19" s="1">
        <v>87.5</v>
      </c>
      <c r="AO19" s="117">
        <f t="shared" si="1"/>
        <v>86.3</v>
      </c>
      <c r="AP19" s="1">
        <v>5.5</v>
      </c>
      <c r="AQ19" s="1">
        <v>5.5</v>
      </c>
      <c r="AR19" s="1">
        <v>5.5</v>
      </c>
      <c r="AS19" s="1">
        <v>5.5</v>
      </c>
      <c r="AT19" s="1">
        <v>86.7</v>
      </c>
      <c r="AU19" s="1">
        <v>87</v>
      </c>
      <c r="AV19" s="1">
        <v>85.2</v>
      </c>
      <c r="AW19" s="1">
        <v>86</v>
      </c>
    </row>
    <row r="20" spans="1:49" x14ac:dyDescent="0.2">
      <c r="A20" s="109"/>
      <c r="C20" s="303"/>
      <c r="D20" s="12"/>
      <c r="F20" s="120" t="s">
        <v>361</v>
      </c>
      <c r="G20" s="121">
        <v>7.5</v>
      </c>
      <c r="H20" s="12">
        <f t="shared" si="2"/>
        <v>82.100000000000009</v>
      </c>
      <c r="I20" s="121">
        <v>87.100000000000009</v>
      </c>
      <c r="J20" s="121">
        <v>90.3</v>
      </c>
      <c r="K20" s="121">
        <v>91.3</v>
      </c>
      <c r="Q20" s="125">
        <f t="shared" si="3"/>
        <v>7.5</v>
      </c>
      <c r="R20" s="123">
        <v>10</v>
      </c>
      <c r="S20" s="113">
        <f t="shared" si="4"/>
        <v>87.100000000000009</v>
      </c>
      <c r="T20" s="114">
        <f t="shared" si="5"/>
        <v>90.3</v>
      </c>
      <c r="U20" s="115">
        <f t="shared" si="6"/>
        <v>91.3</v>
      </c>
      <c r="V20" s="1">
        <v>7.5</v>
      </c>
      <c r="W20" s="1">
        <v>7.5</v>
      </c>
      <c r="X20" s="126"/>
      <c r="Y20" s="1">
        <v>7.5</v>
      </c>
      <c r="Z20" s="1">
        <v>90.6</v>
      </c>
      <c r="AA20" s="1">
        <v>92</v>
      </c>
      <c r="AB20" s="126"/>
      <c r="AC20" s="1">
        <v>90.6</v>
      </c>
      <c r="AE20" s="116">
        <f t="shared" si="0"/>
        <v>90.3</v>
      </c>
      <c r="AF20" s="1">
        <v>7.5</v>
      </c>
      <c r="AG20" s="1">
        <v>7.5</v>
      </c>
      <c r="AH20" s="126"/>
      <c r="AI20" s="1">
        <v>7.5</v>
      </c>
      <c r="AJ20" s="1">
        <v>89.6</v>
      </c>
      <c r="AK20" s="1">
        <v>91</v>
      </c>
      <c r="AL20" s="126"/>
      <c r="AM20" s="1">
        <v>89.5</v>
      </c>
      <c r="AO20" s="117">
        <f t="shared" si="1"/>
        <v>87.100000000000009</v>
      </c>
      <c r="AP20" s="1">
        <v>7.5</v>
      </c>
      <c r="AQ20" s="1">
        <v>7.5</v>
      </c>
      <c r="AR20" s="1">
        <v>7.5</v>
      </c>
      <c r="AS20" s="1">
        <v>7.5</v>
      </c>
      <c r="AT20" s="1">
        <v>87.5</v>
      </c>
      <c r="AU20" s="1">
        <v>87.5</v>
      </c>
      <c r="AV20" s="1">
        <v>86.3</v>
      </c>
      <c r="AW20" s="1">
        <v>87.2</v>
      </c>
    </row>
    <row r="21" spans="1:49" x14ac:dyDescent="0.2">
      <c r="A21" s="109"/>
      <c r="C21" s="8"/>
      <c r="D21" s="12"/>
      <c r="F21" s="120" t="s">
        <v>362</v>
      </c>
      <c r="G21" s="121">
        <v>9.1999999999999993</v>
      </c>
      <c r="H21" s="12">
        <f t="shared" si="2"/>
        <v>82.899999999999991</v>
      </c>
      <c r="I21" s="121">
        <v>87.899999999999991</v>
      </c>
      <c r="J21" s="121">
        <v>90.233333333333334</v>
      </c>
      <c r="K21" s="121">
        <v>91.533333333333346</v>
      </c>
      <c r="Q21" s="125">
        <f t="shared" si="3"/>
        <v>9.1999999999999993</v>
      </c>
      <c r="R21" s="123">
        <v>12.5</v>
      </c>
      <c r="S21" s="113">
        <f t="shared" si="4"/>
        <v>87.899999999999991</v>
      </c>
      <c r="T21" s="114">
        <f t="shared" si="5"/>
        <v>90.233333333333334</v>
      </c>
      <c r="U21" s="115">
        <f t="shared" si="6"/>
        <v>91.533333333333346</v>
      </c>
      <c r="V21" s="1">
        <v>9.1999999999999993</v>
      </c>
      <c r="W21" s="1">
        <v>9.1999999999999993</v>
      </c>
      <c r="X21" s="1">
        <v>9.1999999999999993</v>
      </c>
      <c r="Y21" s="1">
        <v>9.1999999999999993</v>
      </c>
      <c r="Z21" s="1">
        <v>91.2</v>
      </c>
      <c r="AA21" s="1">
        <v>92.4</v>
      </c>
      <c r="AB21" s="1">
        <v>91</v>
      </c>
      <c r="AC21" s="1">
        <v>91</v>
      </c>
      <c r="AE21" s="116">
        <f t="shared" si="0"/>
        <v>90.233333333333334</v>
      </c>
      <c r="AF21" s="1">
        <v>9.1999999999999993</v>
      </c>
      <c r="AG21" s="1">
        <v>9.1999999999999993</v>
      </c>
      <c r="AH21" s="1">
        <v>9.1999999999999993</v>
      </c>
      <c r="AI21" s="1">
        <v>9.1999999999999993</v>
      </c>
      <c r="AJ21" s="1">
        <v>90.2</v>
      </c>
      <c r="AK21" s="1">
        <v>91</v>
      </c>
      <c r="AL21" s="1">
        <v>89.5</v>
      </c>
      <c r="AM21" s="1">
        <v>90</v>
      </c>
      <c r="AO21" s="117">
        <f t="shared" si="1"/>
        <v>87.899999999999991</v>
      </c>
      <c r="AP21" s="1">
        <v>9.1999999999999993</v>
      </c>
      <c r="AQ21" s="1">
        <v>9.1999999999999993</v>
      </c>
      <c r="AR21" s="1">
        <v>9.1999999999999993</v>
      </c>
      <c r="AS21" s="1">
        <v>9.1999999999999993</v>
      </c>
      <c r="AT21" s="1">
        <v>88</v>
      </c>
      <c r="AU21" s="1">
        <v>88</v>
      </c>
      <c r="AV21" s="1">
        <v>87.7</v>
      </c>
      <c r="AW21" s="1">
        <v>88.1</v>
      </c>
    </row>
    <row r="22" spans="1:49" ht="15" x14ac:dyDescent="0.2">
      <c r="A22" s="109"/>
      <c r="B22" s="15" t="s">
        <v>33</v>
      </c>
      <c r="C22" s="8"/>
      <c r="D22" s="121"/>
      <c r="F22" s="120" t="s">
        <v>363</v>
      </c>
      <c r="G22" s="121">
        <v>11</v>
      </c>
      <c r="H22" s="12">
        <f t="shared" si="2"/>
        <v>83.833333333333329</v>
      </c>
      <c r="I22" s="121">
        <v>88.833333333333329</v>
      </c>
      <c r="J22" s="121">
        <v>91.066666666666663</v>
      </c>
      <c r="K22" s="121">
        <v>91.65</v>
      </c>
      <c r="Q22" s="125">
        <f t="shared" si="3"/>
        <v>11</v>
      </c>
      <c r="R22" s="123">
        <v>15</v>
      </c>
      <c r="S22" s="113">
        <f t="shared" si="4"/>
        <v>88.833333333333329</v>
      </c>
      <c r="T22" s="114">
        <f t="shared" si="5"/>
        <v>91.066666666666663</v>
      </c>
      <c r="U22" s="115">
        <f t="shared" si="6"/>
        <v>91.65</v>
      </c>
      <c r="V22" s="1">
        <v>11</v>
      </c>
      <c r="W22" s="126"/>
      <c r="X22" s="1">
        <v>11</v>
      </c>
      <c r="Y22" s="1">
        <v>11</v>
      </c>
      <c r="Z22" s="1">
        <v>91.5</v>
      </c>
      <c r="AA22" s="126"/>
      <c r="AB22" s="1">
        <v>91.8</v>
      </c>
      <c r="AC22" s="1">
        <v>91.3</v>
      </c>
      <c r="AE22" s="116">
        <f t="shared" si="0"/>
        <v>91.066666666666663</v>
      </c>
      <c r="AF22" s="1">
        <v>11</v>
      </c>
      <c r="AG22" s="1">
        <v>11</v>
      </c>
      <c r="AH22" s="1">
        <v>11</v>
      </c>
      <c r="AI22" s="1">
        <v>11</v>
      </c>
      <c r="AJ22" s="1">
        <v>90.5</v>
      </c>
      <c r="AK22" s="1">
        <v>91.7</v>
      </c>
      <c r="AL22" s="1">
        <v>91</v>
      </c>
      <c r="AM22" s="1">
        <v>90.4</v>
      </c>
      <c r="AO22" s="117">
        <f t="shared" si="1"/>
        <v>88.833333333333329</v>
      </c>
      <c r="AP22" s="1">
        <v>11</v>
      </c>
      <c r="AQ22" s="1">
        <v>11</v>
      </c>
      <c r="AR22" s="1">
        <v>11</v>
      </c>
      <c r="AS22" s="1">
        <v>11</v>
      </c>
      <c r="AT22" s="1">
        <v>88.7</v>
      </c>
      <c r="AU22" s="1">
        <v>88.6</v>
      </c>
      <c r="AV22" s="1">
        <v>89.2</v>
      </c>
      <c r="AW22" s="1">
        <v>89</v>
      </c>
    </row>
    <row r="23" spans="1:49" x14ac:dyDescent="0.2">
      <c r="A23" s="109"/>
      <c r="B23" s="7" t="s">
        <v>364</v>
      </c>
      <c r="C23" s="8" t="s">
        <v>365</v>
      </c>
      <c r="D23" s="121">
        <f>+IF($D$8="IE2",(VLOOKUP($D$6,$F$6:$K$36,5,FALSE)),(IF($D$8="IE3",(VLOOKUP($D$6,$F$6:$K$36,6,FALSE)),"")))</f>
        <v>95.600000000000009</v>
      </c>
      <c r="F23" s="120" t="s">
        <v>366</v>
      </c>
      <c r="G23" s="121">
        <v>15</v>
      </c>
      <c r="H23" s="12">
        <f t="shared" si="2"/>
        <v>84.633333333333326</v>
      </c>
      <c r="I23" s="121">
        <v>89.633333333333326</v>
      </c>
      <c r="J23" s="121">
        <v>91.5</v>
      </c>
      <c r="K23" s="121">
        <v>92.600000000000009</v>
      </c>
      <c r="Q23" s="125">
        <f t="shared" si="3"/>
        <v>15</v>
      </c>
      <c r="R23" s="123">
        <v>20</v>
      </c>
      <c r="S23" s="113">
        <f t="shared" si="4"/>
        <v>89.633333333333326</v>
      </c>
      <c r="T23" s="114">
        <f t="shared" si="5"/>
        <v>91.5</v>
      </c>
      <c r="U23" s="115">
        <f t="shared" si="6"/>
        <v>92.600000000000009</v>
      </c>
      <c r="V23" s="1">
        <v>15</v>
      </c>
      <c r="W23" s="1">
        <v>15</v>
      </c>
      <c r="X23" s="1">
        <v>15</v>
      </c>
      <c r="Y23" s="1">
        <v>15</v>
      </c>
      <c r="Z23" s="1">
        <v>92.2</v>
      </c>
      <c r="AA23" s="1">
        <v>93.4</v>
      </c>
      <c r="AB23" s="1">
        <v>92.2</v>
      </c>
      <c r="AC23" s="1">
        <v>91.6</v>
      </c>
      <c r="AE23" s="116">
        <f t="shared" si="0"/>
        <v>91.5</v>
      </c>
      <c r="AF23" s="1">
        <v>15</v>
      </c>
      <c r="AG23" s="1">
        <v>15</v>
      </c>
      <c r="AH23" s="1">
        <v>15</v>
      </c>
      <c r="AI23" s="1">
        <v>15</v>
      </c>
      <c r="AJ23" s="1">
        <v>90.8</v>
      </c>
      <c r="AK23" s="1">
        <v>92.4</v>
      </c>
      <c r="AL23" s="1">
        <v>91.3</v>
      </c>
      <c r="AM23" s="1">
        <v>90.5</v>
      </c>
      <c r="AO23" s="117">
        <f t="shared" si="1"/>
        <v>89.633333333333326</v>
      </c>
      <c r="AP23" s="1">
        <v>15</v>
      </c>
      <c r="AQ23" s="1">
        <v>15</v>
      </c>
      <c r="AR23" s="1">
        <v>15</v>
      </c>
      <c r="AS23" s="1">
        <v>15</v>
      </c>
      <c r="AT23" s="1">
        <v>89.1</v>
      </c>
      <c r="AU23" s="1">
        <v>90.2</v>
      </c>
      <c r="AV23" s="1">
        <v>89.6</v>
      </c>
      <c r="AW23" s="1">
        <v>89.5</v>
      </c>
    </row>
    <row r="24" spans="1:49" x14ac:dyDescent="0.2">
      <c r="A24" s="109"/>
      <c r="B24" s="7" t="s">
        <v>367</v>
      </c>
      <c r="C24" s="8" t="s">
        <v>112</v>
      </c>
      <c r="D24" s="121">
        <f>(+VLOOKUP($D$6,$F$6:$K$36,2,FALSE))/($D$23/100)*$D$9*$D$15*$D$7</f>
        <v>3622594.1422594138</v>
      </c>
      <c r="F24" s="120" t="s">
        <v>368</v>
      </c>
      <c r="G24" s="121">
        <v>18.5</v>
      </c>
      <c r="H24" s="12">
        <f t="shared" si="2"/>
        <v>85.5</v>
      </c>
      <c r="I24" s="121">
        <v>90.5</v>
      </c>
      <c r="J24" s="121">
        <v>92.233333333333348</v>
      </c>
      <c r="K24" s="121">
        <v>93.233333333333334</v>
      </c>
      <c r="Q24" s="125">
        <f t="shared" si="3"/>
        <v>18.5</v>
      </c>
      <c r="R24" s="123">
        <v>25</v>
      </c>
      <c r="S24" s="113">
        <f t="shared" si="4"/>
        <v>90.5</v>
      </c>
      <c r="T24" s="114">
        <f t="shared" si="5"/>
        <v>92.233333333333348</v>
      </c>
      <c r="U24" s="115">
        <f t="shared" si="6"/>
        <v>93.233333333333334</v>
      </c>
      <c r="V24" s="1">
        <v>18.5</v>
      </c>
      <c r="W24" s="1">
        <v>18.5</v>
      </c>
      <c r="X24" s="1">
        <v>18.5</v>
      </c>
      <c r="Y24" s="1">
        <v>18.5</v>
      </c>
      <c r="Z24" s="1">
        <v>92.8</v>
      </c>
      <c r="AA24" s="1">
        <v>93.8</v>
      </c>
      <c r="AB24" s="1">
        <v>93.1</v>
      </c>
      <c r="AC24" s="1">
        <v>92.1</v>
      </c>
      <c r="AE24" s="116">
        <f t="shared" si="0"/>
        <v>92.233333333333348</v>
      </c>
      <c r="AF24" s="1">
        <v>18.5</v>
      </c>
      <c r="AG24" s="1">
        <v>18.5</v>
      </c>
      <c r="AH24" s="1">
        <v>18.5</v>
      </c>
      <c r="AI24" s="1">
        <v>18.5</v>
      </c>
      <c r="AJ24" s="1">
        <v>91.5</v>
      </c>
      <c r="AK24" s="1">
        <v>92.8</v>
      </c>
      <c r="AL24" s="1">
        <v>92.4</v>
      </c>
      <c r="AM24" s="1">
        <v>91</v>
      </c>
      <c r="AO24" s="117">
        <f t="shared" si="1"/>
        <v>90.5</v>
      </c>
      <c r="AP24" s="1">
        <v>18.5</v>
      </c>
      <c r="AQ24" s="1">
        <v>18.5</v>
      </c>
      <c r="AR24" s="1">
        <v>18.5</v>
      </c>
      <c r="AS24" s="1">
        <v>18.5</v>
      </c>
      <c r="AT24" s="1">
        <v>90.2</v>
      </c>
      <c r="AU24" s="1">
        <v>91</v>
      </c>
      <c r="AV24" s="1">
        <v>90.3</v>
      </c>
      <c r="AW24" s="1">
        <v>89.6</v>
      </c>
    </row>
    <row r="25" spans="1:49" x14ac:dyDescent="0.2">
      <c r="A25" s="109"/>
      <c r="B25" s="7" t="s">
        <v>369</v>
      </c>
      <c r="C25" s="8" t="s">
        <v>365</v>
      </c>
      <c r="D25" s="121">
        <f>+IF($D$10="&lt; 5 años sin reparaciones",(VLOOKUP($D$6,$F$6:$K$36,4,FALSE)),(IF($D$10="&gt; 5 años o con reparaciones",(VLOOKUP($D$6,$F$6:$K$36,3,FALSE)),"")))</f>
        <v>89.666666666666671</v>
      </c>
      <c r="F25" s="120" t="s">
        <v>370</v>
      </c>
      <c r="G25" s="121">
        <v>22</v>
      </c>
      <c r="H25" s="12">
        <f t="shared" si="2"/>
        <v>85.933333333333323</v>
      </c>
      <c r="I25" s="121">
        <v>90.933333333333323</v>
      </c>
      <c r="J25" s="121">
        <v>92.666666666666671</v>
      </c>
      <c r="K25" s="121">
        <v>93.59999999999998</v>
      </c>
      <c r="Q25" s="123">
        <f t="shared" si="3"/>
        <v>22</v>
      </c>
      <c r="R25" s="123">
        <v>30</v>
      </c>
      <c r="S25" s="113">
        <f t="shared" si="4"/>
        <v>90.933333333333323</v>
      </c>
      <c r="T25" s="114">
        <f t="shared" si="5"/>
        <v>92.666666666666671</v>
      </c>
      <c r="U25" s="115">
        <f t="shared" si="6"/>
        <v>93.59999999999998</v>
      </c>
      <c r="V25" s="1">
        <v>22</v>
      </c>
      <c r="W25" s="1">
        <v>22</v>
      </c>
      <c r="X25" s="1">
        <v>22</v>
      </c>
      <c r="Y25" s="1">
        <v>22</v>
      </c>
      <c r="Z25" s="1">
        <v>93.2</v>
      </c>
      <c r="AA25" s="1">
        <v>94</v>
      </c>
      <c r="AB25" s="1">
        <v>93.6</v>
      </c>
      <c r="AC25" s="1">
        <v>92.4</v>
      </c>
      <c r="AE25" s="116">
        <f t="shared" si="0"/>
        <v>92.666666666666671</v>
      </c>
      <c r="AF25" s="1">
        <v>22</v>
      </c>
      <c r="AG25" s="1">
        <v>22</v>
      </c>
      <c r="AH25" s="1">
        <v>22</v>
      </c>
      <c r="AI25" s="1">
        <v>22</v>
      </c>
      <c r="AJ25" s="1">
        <v>92</v>
      </c>
      <c r="AK25" s="1">
        <v>93</v>
      </c>
      <c r="AL25" s="1">
        <v>93</v>
      </c>
      <c r="AM25" s="1">
        <v>91.7</v>
      </c>
      <c r="AO25" s="117">
        <f t="shared" si="1"/>
        <v>90.933333333333323</v>
      </c>
      <c r="AP25" s="1">
        <v>22</v>
      </c>
      <c r="AQ25" s="1">
        <v>22</v>
      </c>
      <c r="AR25" s="1">
        <v>22</v>
      </c>
      <c r="AS25" s="1">
        <v>22</v>
      </c>
      <c r="AT25" s="1">
        <v>90.6</v>
      </c>
      <c r="AU25" s="1">
        <v>91.1</v>
      </c>
      <c r="AV25" s="1">
        <v>91.1</v>
      </c>
      <c r="AW25" s="1">
        <v>91.1</v>
      </c>
    </row>
    <row r="26" spans="1:49" x14ac:dyDescent="0.2">
      <c r="A26" s="109"/>
      <c r="B26" s="7" t="s">
        <v>371</v>
      </c>
      <c r="C26" s="8" t="s">
        <v>112</v>
      </c>
      <c r="D26" s="121">
        <f>(+VLOOKUP($D$6,$F$6:$K$36,2,FALSE))/($D$25/100)*$D$9*$D$15*$D$7</f>
        <v>3862304.8327137544</v>
      </c>
      <c r="F26" s="120" t="s">
        <v>372</v>
      </c>
      <c r="G26" s="121">
        <v>30</v>
      </c>
      <c r="H26" s="12">
        <f t="shared" si="2"/>
        <v>86.533333333333346</v>
      </c>
      <c r="I26" s="121">
        <v>91.533333333333346</v>
      </c>
      <c r="J26" s="121">
        <v>93.066666666666677</v>
      </c>
      <c r="K26" s="121">
        <v>93.966666666666654</v>
      </c>
      <c r="Q26" s="123">
        <f t="shared" si="3"/>
        <v>30</v>
      </c>
      <c r="R26" s="123">
        <v>40</v>
      </c>
      <c r="S26" s="113">
        <f t="shared" si="4"/>
        <v>91.533333333333346</v>
      </c>
      <c r="T26" s="114">
        <f t="shared" si="5"/>
        <v>93.066666666666677</v>
      </c>
      <c r="U26" s="115">
        <f t="shared" si="6"/>
        <v>93.966666666666654</v>
      </c>
      <c r="V26" s="1">
        <v>30</v>
      </c>
      <c r="W26" s="1">
        <v>30</v>
      </c>
      <c r="X26" s="1">
        <v>30</v>
      </c>
      <c r="Y26" s="1">
        <v>30</v>
      </c>
      <c r="Z26" s="1">
        <v>93.4</v>
      </c>
      <c r="AA26" s="1">
        <v>94.4</v>
      </c>
      <c r="AB26" s="1">
        <v>94.1</v>
      </c>
      <c r="AC26" s="1">
        <v>93</v>
      </c>
      <c r="AE26" s="116">
        <f t="shared" si="0"/>
        <v>93.066666666666677</v>
      </c>
      <c r="AF26" s="1">
        <v>30</v>
      </c>
      <c r="AG26" s="1">
        <v>30</v>
      </c>
      <c r="AH26" s="1">
        <v>30</v>
      </c>
      <c r="AI26" s="1">
        <v>30</v>
      </c>
      <c r="AJ26" s="1">
        <v>92.4</v>
      </c>
      <c r="AK26" s="1">
        <v>93.4</v>
      </c>
      <c r="AL26" s="1">
        <v>93.4</v>
      </c>
      <c r="AM26" s="1">
        <v>92.2</v>
      </c>
      <c r="AO26" s="117">
        <f t="shared" si="1"/>
        <v>91.533333333333346</v>
      </c>
      <c r="AP26" s="1">
        <v>30</v>
      </c>
      <c r="AQ26" s="1">
        <v>30</v>
      </c>
      <c r="AR26" s="1">
        <v>30</v>
      </c>
      <c r="AS26" s="1">
        <v>30</v>
      </c>
      <c r="AT26" s="1">
        <v>91</v>
      </c>
      <c r="AU26" s="1">
        <v>91.8</v>
      </c>
      <c r="AV26" s="1">
        <v>91.8</v>
      </c>
      <c r="AW26" s="1">
        <v>91.5</v>
      </c>
    </row>
    <row r="27" spans="1:49" x14ac:dyDescent="0.2">
      <c r="A27" s="109"/>
      <c r="B27" s="7" t="s">
        <v>373</v>
      </c>
      <c r="C27" s="8" t="s">
        <v>112</v>
      </c>
      <c r="D27" s="121">
        <f>+D26-D24</f>
        <v>239710.69045434054</v>
      </c>
      <c r="F27" s="120" t="s">
        <v>374</v>
      </c>
      <c r="G27" s="121">
        <v>37</v>
      </c>
      <c r="H27" s="12">
        <f t="shared" si="2"/>
        <v>87.266666666666666</v>
      </c>
      <c r="I27" s="121">
        <v>92.266666666666666</v>
      </c>
      <c r="J27" s="121">
        <v>93.399999999999991</v>
      </c>
      <c r="K27" s="121">
        <v>94.266666666666666</v>
      </c>
      <c r="Q27" s="123">
        <f t="shared" si="3"/>
        <v>37</v>
      </c>
      <c r="R27" s="123">
        <v>50</v>
      </c>
      <c r="S27" s="113">
        <f t="shared" si="4"/>
        <v>92.266666666666666</v>
      </c>
      <c r="T27" s="114">
        <f t="shared" si="5"/>
        <v>93.399999999999991</v>
      </c>
      <c r="U27" s="115">
        <f t="shared" si="6"/>
        <v>94.266666666666666</v>
      </c>
      <c r="V27" s="1">
        <v>37</v>
      </c>
      <c r="W27" s="1">
        <v>37</v>
      </c>
      <c r="X27" s="1">
        <v>37</v>
      </c>
      <c r="Y27" s="1">
        <v>37</v>
      </c>
      <c r="Z27" s="1">
        <v>94</v>
      </c>
      <c r="AA27" s="1">
        <v>94.6</v>
      </c>
      <c r="AB27" s="1">
        <v>94.2</v>
      </c>
      <c r="AC27" s="1">
        <v>93.4</v>
      </c>
      <c r="AE27" s="116">
        <f t="shared" si="0"/>
        <v>93.399999999999991</v>
      </c>
      <c r="AF27" s="1">
        <v>37</v>
      </c>
      <c r="AG27" s="1">
        <v>37</v>
      </c>
      <c r="AH27" s="1">
        <v>37</v>
      </c>
      <c r="AI27" s="1">
        <v>37</v>
      </c>
      <c r="AJ27" s="1">
        <v>93</v>
      </c>
      <c r="AK27" s="1">
        <v>93.6</v>
      </c>
      <c r="AL27" s="1">
        <v>93.6</v>
      </c>
      <c r="AM27" s="1">
        <v>92.6</v>
      </c>
      <c r="AO27" s="117">
        <f t="shared" si="1"/>
        <v>92.266666666666666</v>
      </c>
      <c r="AP27" s="1">
        <v>37</v>
      </c>
      <c r="AQ27" s="1">
        <v>37</v>
      </c>
      <c r="AR27" s="1">
        <v>37</v>
      </c>
      <c r="AS27" s="1">
        <v>37</v>
      </c>
      <c r="AT27" s="1">
        <v>92</v>
      </c>
      <c r="AU27" s="1">
        <v>92.5</v>
      </c>
      <c r="AV27" s="1">
        <v>92.3</v>
      </c>
      <c r="AW27" s="1">
        <v>91.8</v>
      </c>
    </row>
    <row r="28" spans="1:49" x14ac:dyDescent="0.2">
      <c r="A28" s="109"/>
      <c r="B28" s="7" t="s">
        <v>375</v>
      </c>
      <c r="C28" s="8" t="s">
        <v>39</v>
      </c>
      <c r="D28" s="121">
        <f>+$D$24/1000*$D$16</f>
        <v>1069.752050209205</v>
      </c>
      <c r="F28" s="120" t="s">
        <v>376</v>
      </c>
      <c r="G28" s="121">
        <v>45</v>
      </c>
      <c r="H28" s="12">
        <f t="shared" si="2"/>
        <v>87.733333333333334</v>
      </c>
      <c r="I28" s="121">
        <v>92.733333333333334</v>
      </c>
      <c r="J28" s="121">
        <v>93.8</v>
      </c>
      <c r="K28" s="121">
        <v>94.633333333333326</v>
      </c>
      <c r="Q28" s="123">
        <f t="shared" si="3"/>
        <v>45</v>
      </c>
      <c r="R28" s="123">
        <v>60</v>
      </c>
      <c r="S28" s="113">
        <f t="shared" si="4"/>
        <v>92.733333333333334</v>
      </c>
      <c r="T28" s="114">
        <f t="shared" si="5"/>
        <v>93.8</v>
      </c>
      <c r="U28" s="115">
        <f t="shared" si="6"/>
        <v>94.633333333333326</v>
      </c>
      <c r="V28" s="1">
        <v>45</v>
      </c>
      <c r="W28" s="1">
        <v>45</v>
      </c>
      <c r="X28" s="1">
        <v>45</v>
      </c>
      <c r="Y28" s="1">
        <v>45</v>
      </c>
      <c r="Z28" s="1">
        <v>94.3</v>
      </c>
      <c r="AA28" s="1">
        <v>95.1</v>
      </c>
      <c r="AB28" s="1">
        <v>94.5</v>
      </c>
      <c r="AC28" s="1">
        <v>93.4</v>
      </c>
      <c r="AE28" s="116">
        <f t="shared" si="0"/>
        <v>93.8</v>
      </c>
      <c r="AF28" s="1">
        <v>45</v>
      </c>
      <c r="AG28" s="1">
        <v>45</v>
      </c>
      <c r="AH28" s="1">
        <v>45</v>
      </c>
      <c r="AI28" s="1">
        <v>45</v>
      </c>
      <c r="AJ28" s="1">
        <v>93.5</v>
      </c>
      <c r="AK28" s="1">
        <v>94.1</v>
      </c>
      <c r="AL28" s="1">
        <v>93.8</v>
      </c>
      <c r="AM28" s="1">
        <v>92.6</v>
      </c>
      <c r="AO28" s="117">
        <f t="shared" si="1"/>
        <v>92.733333333333334</v>
      </c>
      <c r="AP28" s="1">
        <v>45</v>
      </c>
      <c r="AQ28" s="1">
        <v>45</v>
      </c>
      <c r="AR28" s="1">
        <v>45</v>
      </c>
      <c r="AS28" s="1">
        <v>45</v>
      </c>
      <c r="AT28" s="1">
        <v>92.5</v>
      </c>
      <c r="AU28" s="1">
        <v>93.1</v>
      </c>
      <c r="AV28" s="1">
        <v>92.6</v>
      </c>
      <c r="AW28" s="1">
        <v>92.1</v>
      </c>
    </row>
    <row r="29" spans="1:49" x14ac:dyDescent="0.2">
      <c r="A29" s="109"/>
      <c r="B29" s="7" t="s">
        <v>40</v>
      </c>
      <c r="C29" s="8" t="s">
        <v>39</v>
      </c>
      <c r="D29" s="121">
        <f>+$D$27/1000*$D$16</f>
        <v>70.786566891166771</v>
      </c>
      <c r="F29" s="120" t="s">
        <v>377</v>
      </c>
      <c r="G29" s="121">
        <v>55</v>
      </c>
      <c r="H29" s="12">
        <f t="shared" si="2"/>
        <v>88.166666666666671</v>
      </c>
      <c r="I29" s="121">
        <v>93.166666666666671</v>
      </c>
      <c r="J29" s="121">
        <v>94.09999999999998</v>
      </c>
      <c r="K29" s="121">
        <v>94.899999999999991</v>
      </c>
      <c r="Q29" s="123">
        <f t="shared" si="3"/>
        <v>55</v>
      </c>
      <c r="R29" s="123">
        <v>75</v>
      </c>
      <c r="S29" s="113">
        <f t="shared" si="4"/>
        <v>93.166666666666671</v>
      </c>
      <c r="T29" s="114">
        <f t="shared" si="5"/>
        <v>94.09999999999998</v>
      </c>
      <c r="U29" s="115">
        <f t="shared" si="6"/>
        <v>94.899999999999991</v>
      </c>
      <c r="V29" s="1">
        <v>55</v>
      </c>
      <c r="W29" s="1">
        <v>55</v>
      </c>
      <c r="X29" s="1">
        <v>55</v>
      </c>
      <c r="Y29" s="1">
        <v>55</v>
      </c>
      <c r="Z29" s="1">
        <v>94.6</v>
      </c>
      <c r="AA29" s="1">
        <v>95.4</v>
      </c>
      <c r="AB29" s="1">
        <v>94.7</v>
      </c>
      <c r="AC29" s="1">
        <v>94.3</v>
      </c>
      <c r="AE29" s="116">
        <f t="shared" si="0"/>
        <v>94.09999999999998</v>
      </c>
      <c r="AF29" s="1">
        <v>55</v>
      </c>
      <c r="AG29" s="1">
        <v>55</v>
      </c>
      <c r="AH29" s="1">
        <v>55</v>
      </c>
      <c r="AI29" s="1">
        <v>55</v>
      </c>
      <c r="AJ29" s="1">
        <v>93.8</v>
      </c>
      <c r="AK29" s="1">
        <v>94.4</v>
      </c>
      <c r="AL29" s="1">
        <v>94.1</v>
      </c>
      <c r="AM29" s="1">
        <v>93.5</v>
      </c>
      <c r="AO29" s="117">
        <f t="shared" si="1"/>
        <v>93.166666666666671</v>
      </c>
      <c r="AP29" s="1">
        <v>55</v>
      </c>
      <c r="AQ29" s="1">
        <v>55</v>
      </c>
      <c r="AR29" s="1">
        <v>55</v>
      </c>
      <c r="AS29" s="1">
        <v>55</v>
      </c>
      <c r="AT29" s="1">
        <v>93</v>
      </c>
      <c r="AU29" s="1">
        <v>93.3</v>
      </c>
      <c r="AV29" s="1">
        <v>93.2</v>
      </c>
      <c r="AW29" s="1">
        <v>93.1</v>
      </c>
    </row>
    <row r="30" spans="1:49" x14ac:dyDescent="0.2">
      <c r="A30" s="109"/>
      <c r="B30" s="7" t="s">
        <v>378</v>
      </c>
      <c r="C30" s="1" t="s">
        <v>44</v>
      </c>
      <c r="D30" s="127">
        <f>ROUND(+$D$29*$D$17,0)</f>
        <v>1161</v>
      </c>
      <c r="F30" s="120" t="s">
        <v>379</v>
      </c>
      <c r="G30" s="121">
        <v>75</v>
      </c>
      <c r="H30" s="12">
        <f t="shared" si="2"/>
        <v>88.533333333333346</v>
      </c>
      <c r="I30" s="121">
        <v>93.533333333333346</v>
      </c>
      <c r="J30" s="121">
        <v>94.433333333333323</v>
      </c>
      <c r="K30" s="121">
        <v>95.166666666666671</v>
      </c>
      <c r="Q30" s="123">
        <f t="shared" si="3"/>
        <v>75</v>
      </c>
      <c r="R30" s="123">
        <v>100</v>
      </c>
      <c r="S30" s="113">
        <f t="shared" si="4"/>
        <v>93.533333333333346</v>
      </c>
      <c r="T30" s="114">
        <f t="shared" si="5"/>
        <v>94.433333333333323</v>
      </c>
      <c r="U30" s="115">
        <f t="shared" si="6"/>
        <v>95.166666666666671</v>
      </c>
      <c r="V30" s="1">
        <v>75</v>
      </c>
      <c r="W30" s="1">
        <v>75</v>
      </c>
      <c r="X30" s="1">
        <v>75</v>
      </c>
      <c r="Y30" s="1">
        <v>75</v>
      </c>
      <c r="Z30" s="1">
        <v>95</v>
      </c>
      <c r="AA30" s="1">
        <v>95.5</v>
      </c>
      <c r="AB30" s="1">
        <v>95</v>
      </c>
      <c r="AC30" s="1">
        <v>94.5</v>
      </c>
      <c r="AE30" s="116">
        <f t="shared" si="0"/>
        <v>94.433333333333323</v>
      </c>
      <c r="AF30" s="1">
        <v>75</v>
      </c>
      <c r="AG30" s="1">
        <v>75</v>
      </c>
      <c r="AH30" s="1">
        <v>75</v>
      </c>
      <c r="AI30" s="1">
        <v>75</v>
      </c>
      <c r="AJ30" s="1">
        <v>94.3</v>
      </c>
      <c r="AK30" s="1">
        <v>94.6</v>
      </c>
      <c r="AL30" s="1">
        <v>94.4</v>
      </c>
      <c r="AM30" s="1">
        <v>93.7</v>
      </c>
      <c r="AO30" s="117">
        <f t="shared" si="1"/>
        <v>93.533333333333346</v>
      </c>
      <c r="AP30" s="1">
        <v>75</v>
      </c>
      <c r="AQ30" s="1">
        <v>75</v>
      </c>
      <c r="AR30" s="1">
        <v>75</v>
      </c>
      <c r="AS30" s="1">
        <v>75</v>
      </c>
      <c r="AT30" s="1">
        <v>93.7</v>
      </c>
      <c r="AU30" s="1">
        <v>93.6</v>
      </c>
      <c r="AV30" s="1">
        <v>93.3</v>
      </c>
      <c r="AW30" s="1">
        <v>93.3</v>
      </c>
    </row>
    <row r="31" spans="1:49" x14ac:dyDescent="0.2">
      <c r="A31" s="109"/>
      <c r="F31" s="120" t="s">
        <v>380</v>
      </c>
      <c r="G31" s="121">
        <v>90</v>
      </c>
      <c r="H31" s="12">
        <f t="shared" si="2"/>
        <v>88.866666666666674</v>
      </c>
      <c r="I31" s="121">
        <v>93.866666666666674</v>
      </c>
      <c r="J31" s="121">
        <v>94.733333333333334</v>
      </c>
      <c r="K31" s="121">
        <v>95.399999999999991</v>
      </c>
      <c r="Q31" s="123">
        <f t="shared" si="3"/>
        <v>90</v>
      </c>
      <c r="R31" s="123">
        <v>125</v>
      </c>
      <c r="S31" s="113">
        <f t="shared" si="4"/>
        <v>93.866666666666674</v>
      </c>
      <c r="T31" s="114">
        <f t="shared" si="5"/>
        <v>94.733333333333334</v>
      </c>
      <c r="U31" s="115">
        <f t="shared" si="6"/>
        <v>95.399999999999991</v>
      </c>
      <c r="V31" s="1">
        <v>90</v>
      </c>
      <c r="W31" s="1">
        <v>90</v>
      </c>
      <c r="X31" s="1">
        <v>90</v>
      </c>
      <c r="Y31" s="1">
        <v>90</v>
      </c>
      <c r="Z31" s="1">
        <v>95.3</v>
      </c>
      <c r="AA31" s="1">
        <v>95.6</v>
      </c>
      <c r="AB31" s="1">
        <v>95.3</v>
      </c>
      <c r="AC31" s="1">
        <v>94.9</v>
      </c>
      <c r="AE31" s="116">
        <f t="shared" si="0"/>
        <v>94.733333333333334</v>
      </c>
      <c r="AF31" s="1">
        <v>90</v>
      </c>
      <c r="AG31" s="1">
        <v>90</v>
      </c>
      <c r="AH31" s="1">
        <v>90</v>
      </c>
      <c r="AI31" s="1">
        <v>90</v>
      </c>
      <c r="AJ31" s="1">
        <v>94.6</v>
      </c>
      <c r="AK31" s="1">
        <v>94.9</v>
      </c>
      <c r="AL31" s="1">
        <v>94.7</v>
      </c>
      <c r="AM31" s="1">
        <v>94.2</v>
      </c>
      <c r="AO31" s="117">
        <f t="shared" si="1"/>
        <v>93.866666666666674</v>
      </c>
      <c r="AP31" s="1">
        <v>90</v>
      </c>
      <c r="AQ31" s="1">
        <v>90</v>
      </c>
      <c r="AR31" s="1">
        <v>90</v>
      </c>
      <c r="AS31" s="1">
        <v>90</v>
      </c>
      <c r="AT31" s="1">
        <v>94</v>
      </c>
      <c r="AU31" s="1">
        <v>94</v>
      </c>
      <c r="AV31" s="1">
        <v>93.6</v>
      </c>
      <c r="AW31" s="1">
        <v>93.7</v>
      </c>
    </row>
    <row r="32" spans="1:49" x14ac:dyDescent="0.2">
      <c r="A32" s="109"/>
      <c r="F32" s="120" t="s">
        <v>381</v>
      </c>
      <c r="G32" s="121">
        <v>110</v>
      </c>
      <c r="H32" s="12">
        <f t="shared" si="2"/>
        <v>89.233333333333334</v>
      </c>
      <c r="I32" s="121">
        <v>94.233333333333334</v>
      </c>
      <c r="J32" s="121">
        <v>95.033333333333346</v>
      </c>
      <c r="K32" s="121">
        <v>95.7</v>
      </c>
      <c r="Q32" s="123">
        <f t="shared" si="3"/>
        <v>110</v>
      </c>
      <c r="R32" s="123">
        <v>150</v>
      </c>
      <c r="S32" s="113">
        <f t="shared" si="4"/>
        <v>94.233333333333334</v>
      </c>
      <c r="T32" s="114">
        <f t="shared" si="5"/>
        <v>95.033333333333346</v>
      </c>
      <c r="U32" s="115">
        <f t="shared" si="6"/>
        <v>95.7</v>
      </c>
      <c r="V32" s="1">
        <v>110</v>
      </c>
      <c r="W32" s="1">
        <v>110</v>
      </c>
      <c r="X32" s="1">
        <v>110</v>
      </c>
      <c r="Y32" s="1">
        <v>110</v>
      </c>
      <c r="Z32" s="1">
        <v>95.5</v>
      </c>
      <c r="AA32" s="1">
        <v>95.8</v>
      </c>
      <c r="AB32" s="1">
        <v>95.8</v>
      </c>
      <c r="AC32" s="1">
        <v>95</v>
      </c>
      <c r="AE32" s="116">
        <f t="shared" si="0"/>
        <v>95.033333333333346</v>
      </c>
      <c r="AF32" s="1">
        <v>110</v>
      </c>
      <c r="AG32" s="1">
        <v>110</v>
      </c>
      <c r="AH32" s="1">
        <v>110</v>
      </c>
      <c r="AI32" s="1">
        <v>110</v>
      </c>
      <c r="AJ32" s="1">
        <v>94.8</v>
      </c>
      <c r="AK32" s="1">
        <v>95.2</v>
      </c>
      <c r="AL32" s="1">
        <v>95.1</v>
      </c>
      <c r="AM32" s="1">
        <v>94.5</v>
      </c>
      <c r="AO32" s="117">
        <f t="shared" si="1"/>
        <v>94.233333333333334</v>
      </c>
      <c r="AP32" s="1">
        <v>110</v>
      </c>
      <c r="AQ32" s="1">
        <v>110</v>
      </c>
      <c r="AR32" s="1">
        <v>110</v>
      </c>
      <c r="AS32" s="1">
        <v>110</v>
      </c>
      <c r="AT32" s="1">
        <v>94.1</v>
      </c>
      <c r="AU32" s="1">
        <v>94.3</v>
      </c>
      <c r="AV32" s="1">
        <v>94.3</v>
      </c>
      <c r="AW32" s="1">
        <v>94</v>
      </c>
    </row>
    <row r="33" spans="1:49" ht="15" x14ac:dyDescent="0.2">
      <c r="A33" s="109"/>
      <c r="B33" s="318"/>
      <c r="C33" s="319" t="s">
        <v>1107</v>
      </c>
      <c r="D33" s="319" t="s">
        <v>1091</v>
      </c>
      <c r="F33" s="120" t="s">
        <v>382</v>
      </c>
      <c r="G33" s="121">
        <v>132</v>
      </c>
      <c r="H33" s="12">
        <f t="shared" si="2"/>
        <v>89.40000000000002</v>
      </c>
      <c r="I33" s="121">
        <v>94.40000000000002</v>
      </c>
      <c r="J33" s="121">
        <v>95.2</v>
      </c>
      <c r="K33" s="121">
        <v>95.866666666666674</v>
      </c>
      <c r="Q33" s="123">
        <f t="shared" si="3"/>
        <v>132</v>
      </c>
      <c r="R33" s="123">
        <v>180</v>
      </c>
      <c r="S33" s="113">
        <f t="shared" si="4"/>
        <v>94.40000000000002</v>
      </c>
      <c r="T33" s="114">
        <f t="shared" si="5"/>
        <v>95.2</v>
      </c>
      <c r="U33" s="115">
        <f t="shared" si="6"/>
        <v>95.866666666666674</v>
      </c>
      <c r="V33" s="1">
        <v>132</v>
      </c>
      <c r="W33" s="1">
        <v>132</v>
      </c>
      <c r="X33" s="1">
        <v>132</v>
      </c>
      <c r="Y33" s="1">
        <v>132</v>
      </c>
      <c r="Z33" s="1">
        <v>95.6</v>
      </c>
      <c r="AA33" s="1">
        <v>96.2</v>
      </c>
      <c r="AB33" s="1">
        <v>95.8</v>
      </c>
      <c r="AC33" s="1">
        <v>95.4</v>
      </c>
      <c r="AE33" s="116">
        <f t="shared" si="0"/>
        <v>95.2</v>
      </c>
      <c r="AF33" s="1">
        <v>132</v>
      </c>
      <c r="AG33" s="1">
        <v>132</v>
      </c>
      <c r="AH33" s="1">
        <v>132</v>
      </c>
      <c r="AI33" s="1">
        <v>132</v>
      </c>
      <c r="AJ33" s="1">
        <v>95</v>
      </c>
      <c r="AK33" s="1">
        <v>95.3</v>
      </c>
      <c r="AL33" s="1">
        <v>95.3</v>
      </c>
      <c r="AM33" s="1">
        <v>95</v>
      </c>
      <c r="AO33" s="117">
        <f t="shared" si="1"/>
        <v>94.40000000000002</v>
      </c>
      <c r="AP33" s="1">
        <v>132</v>
      </c>
      <c r="AQ33" s="1">
        <v>132</v>
      </c>
      <c r="AR33" s="1">
        <v>132</v>
      </c>
      <c r="AS33" s="1">
        <v>132</v>
      </c>
      <c r="AT33" s="1">
        <v>94.2</v>
      </c>
      <c r="AU33" s="1">
        <v>94.6</v>
      </c>
      <c r="AV33" s="1">
        <v>94.4</v>
      </c>
      <c r="AW33" s="1">
        <v>94.2</v>
      </c>
    </row>
    <row r="34" spans="1:49" x14ac:dyDescent="0.2">
      <c r="A34" s="109"/>
      <c r="B34" s="320" t="s">
        <v>854</v>
      </c>
      <c r="C34" s="481">
        <f>+($D$18+$D$19)</f>
        <v>1140.5386171003718</v>
      </c>
      <c r="D34" s="481">
        <v>0</v>
      </c>
      <c r="F34" s="120" t="s">
        <v>383</v>
      </c>
      <c r="G34" s="121">
        <v>150</v>
      </c>
      <c r="H34" s="12">
        <f t="shared" si="2"/>
        <v>89.533333333333346</v>
      </c>
      <c r="I34" s="121">
        <v>94.533333333333346</v>
      </c>
      <c r="J34" s="121">
        <v>95.366666666666674</v>
      </c>
      <c r="K34" s="121">
        <v>95.966666666666654</v>
      </c>
      <c r="Q34" s="123">
        <f t="shared" si="3"/>
        <v>150</v>
      </c>
      <c r="R34" s="123">
        <v>200</v>
      </c>
      <c r="S34" s="113">
        <f t="shared" si="4"/>
        <v>94.533333333333346</v>
      </c>
      <c r="T34" s="114">
        <f t="shared" si="5"/>
        <v>95.366666666666674</v>
      </c>
      <c r="U34" s="115">
        <f t="shared" si="6"/>
        <v>95.966666666666654</v>
      </c>
      <c r="V34" s="1">
        <v>150</v>
      </c>
      <c r="W34" s="1">
        <v>150</v>
      </c>
      <c r="X34" s="1">
        <v>150</v>
      </c>
      <c r="Y34" s="1">
        <v>150</v>
      </c>
      <c r="Z34" s="1">
        <v>95.8</v>
      </c>
      <c r="AA34" s="1">
        <v>96.2</v>
      </c>
      <c r="AB34" s="1">
        <v>95.9</v>
      </c>
      <c r="AC34" s="1">
        <v>95.6</v>
      </c>
      <c r="AE34" s="116">
        <f t="shared" si="0"/>
        <v>95.366666666666674</v>
      </c>
      <c r="AF34" s="1">
        <v>150</v>
      </c>
      <c r="AG34" s="1">
        <v>150</v>
      </c>
      <c r="AH34" s="1">
        <v>150</v>
      </c>
      <c r="AI34" s="1">
        <v>150</v>
      </c>
      <c r="AJ34" s="1">
        <v>95.2</v>
      </c>
      <c r="AK34" s="1">
        <v>95.5</v>
      </c>
      <c r="AL34" s="1">
        <v>95.4</v>
      </c>
      <c r="AM34" s="1">
        <v>95.2</v>
      </c>
      <c r="AO34" s="117">
        <f t="shared" si="1"/>
        <v>94.533333333333346</v>
      </c>
      <c r="AP34" s="1">
        <v>150</v>
      </c>
      <c r="AQ34" s="1">
        <v>150</v>
      </c>
      <c r="AR34" s="1">
        <v>150</v>
      </c>
      <c r="AS34" s="1">
        <v>150</v>
      </c>
      <c r="AT34" s="1">
        <v>94.4</v>
      </c>
      <c r="AU34" s="1">
        <v>94.7</v>
      </c>
      <c r="AV34" s="1">
        <v>94.5</v>
      </c>
      <c r="AW34" s="1">
        <v>94.4</v>
      </c>
    </row>
    <row r="35" spans="1:49" x14ac:dyDescent="0.2">
      <c r="A35" s="109"/>
      <c r="B35" s="320" t="s">
        <v>45</v>
      </c>
      <c r="C35" s="481">
        <f>+$D$18</f>
        <v>1069.752050209205</v>
      </c>
      <c r="D35" s="482">
        <f>+$D$29</f>
        <v>70.786566891166771</v>
      </c>
      <c r="F35" s="120" t="s">
        <v>384</v>
      </c>
      <c r="G35" s="121">
        <v>185</v>
      </c>
      <c r="H35" s="12">
        <f t="shared" si="2"/>
        <v>89.666666666666671</v>
      </c>
      <c r="I35" s="121">
        <v>94.666666666666671</v>
      </c>
      <c r="J35" s="121">
        <v>95.600000000000009</v>
      </c>
      <c r="K35" s="121">
        <v>96.133333333333326</v>
      </c>
      <c r="Q35" s="123">
        <f t="shared" si="3"/>
        <v>185</v>
      </c>
      <c r="R35" s="123">
        <v>250</v>
      </c>
      <c r="S35" s="113">
        <f t="shared" si="4"/>
        <v>94.666666666666671</v>
      </c>
      <c r="T35" s="114">
        <f t="shared" si="5"/>
        <v>95.600000000000009</v>
      </c>
      <c r="U35" s="115">
        <f t="shared" si="6"/>
        <v>96.133333333333326</v>
      </c>
      <c r="V35" s="1">
        <v>185</v>
      </c>
      <c r="W35" s="1">
        <v>185</v>
      </c>
      <c r="X35" s="1">
        <v>185</v>
      </c>
      <c r="Y35" s="1">
        <v>185</v>
      </c>
      <c r="Z35" s="1">
        <v>96.1</v>
      </c>
      <c r="AA35" s="1">
        <v>96.3</v>
      </c>
      <c r="AB35" s="1">
        <v>96</v>
      </c>
      <c r="AC35" s="1">
        <v>95.7</v>
      </c>
      <c r="AE35" s="116">
        <f t="shared" si="0"/>
        <v>95.600000000000009</v>
      </c>
      <c r="AF35" s="1">
        <v>185</v>
      </c>
      <c r="AG35" s="1">
        <v>185</v>
      </c>
      <c r="AH35" s="1">
        <v>185</v>
      </c>
      <c r="AI35" s="1">
        <v>185</v>
      </c>
      <c r="AJ35" s="1">
        <v>95.6</v>
      </c>
      <c r="AK35" s="1">
        <v>95.7</v>
      </c>
      <c r="AL35" s="1">
        <v>95.5</v>
      </c>
      <c r="AM35" s="1">
        <v>95.3</v>
      </c>
      <c r="AO35" s="117">
        <f t="shared" si="1"/>
        <v>94.666666666666671</v>
      </c>
      <c r="AP35" s="1">
        <v>185</v>
      </c>
      <c r="AQ35" s="1">
        <v>185</v>
      </c>
      <c r="AR35" s="1">
        <v>185</v>
      </c>
      <c r="AS35" s="1">
        <v>185</v>
      </c>
      <c r="AT35" s="1">
        <v>94.6</v>
      </c>
      <c r="AU35" s="1">
        <v>94.8</v>
      </c>
      <c r="AV35" s="1">
        <v>94.6</v>
      </c>
      <c r="AW35" s="1">
        <v>94.7</v>
      </c>
    </row>
    <row r="36" spans="1:49" x14ac:dyDescent="0.2">
      <c r="A36" s="109"/>
      <c r="F36" s="120" t="s">
        <v>385</v>
      </c>
      <c r="G36" s="121">
        <v>200</v>
      </c>
      <c r="H36" s="12">
        <f t="shared" si="2"/>
        <v>89.833333333333329</v>
      </c>
      <c r="I36" s="121">
        <v>94.833333333333329</v>
      </c>
      <c r="J36" s="121">
        <v>95.7</v>
      </c>
      <c r="K36" s="121">
        <v>96.166666666666671</v>
      </c>
      <c r="Q36" s="123">
        <f t="shared" si="3"/>
        <v>200</v>
      </c>
      <c r="R36" s="123">
        <v>270</v>
      </c>
      <c r="S36" s="113">
        <f t="shared" si="4"/>
        <v>94.833333333333329</v>
      </c>
      <c r="T36" s="114">
        <f t="shared" si="5"/>
        <v>95.7</v>
      </c>
      <c r="U36" s="115">
        <f t="shared" si="6"/>
        <v>96.166666666666671</v>
      </c>
      <c r="V36" s="1">
        <v>200</v>
      </c>
      <c r="W36" s="1">
        <v>200</v>
      </c>
      <c r="X36" s="1">
        <v>200</v>
      </c>
      <c r="Y36" s="126"/>
      <c r="Z36" s="1">
        <v>96.2</v>
      </c>
      <c r="AA36" s="1">
        <v>96.3</v>
      </c>
      <c r="AB36" s="1">
        <v>96</v>
      </c>
      <c r="AC36" s="126"/>
      <c r="AE36" s="112">
        <f t="shared" si="0"/>
        <v>95.7</v>
      </c>
      <c r="AF36" s="1">
        <v>200</v>
      </c>
      <c r="AG36" s="1">
        <v>200</v>
      </c>
      <c r="AH36" s="1">
        <v>200</v>
      </c>
      <c r="AI36" s="126"/>
      <c r="AJ36" s="1">
        <v>95.8</v>
      </c>
      <c r="AK36" s="1">
        <v>95.8</v>
      </c>
      <c r="AL36" s="1">
        <v>95.5</v>
      </c>
      <c r="AM36" s="126"/>
      <c r="AO36" s="112">
        <f t="shared" si="1"/>
        <v>94.833333333333329</v>
      </c>
      <c r="AP36" s="1">
        <v>200</v>
      </c>
      <c r="AQ36" s="1">
        <v>200</v>
      </c>
      <c r="AR36" s="1">
        <v>200</v>
      </c>
      <c r="AS36" s="128"/>
      <c r="AT36" s="1">
        <v>94.8</v>
      </c>
      <c r="AU36" s="1">
        <v>95</v>
      </c>
      <c r="AV36" s="1">
        <v>94.7</v>
      </c>
      <c r="AW36" s="128"/>
    </row>
    <row r="37" spans="1:49" x14ac:dyDescent="0.2">
      <c r="A37" s="129"/>
      <c r="B37" s="130"/>
      <c r="C37" s="131"/>
      <c r="D37" s="158"/>
      <c r="E37" s="131"/>
      <c r="F37" s="130" t="s">
        <v>312</v>
      </c>
      <c r="G37" s="131"/>
      <c r="H37" s="131"/>
      <c r="I37" s="131"/>
      <c r="J37" s="131"/>
      <c r="K37" s="131"/>
      <c r="L37" s="131"/>
    </row>
    <row r="38" spans="1:49" x14ac:dyDescent="0.2"/>
    <row r="39" spans="1:49" x14ac:dyDescent="0.2">
      <c r="A39" s="105"/>
      <c r="B39" s="106"/>
      <c r="C39" s="107"/>
      <c r="D39" s="107"/>
      <c r="E39" s="107"/>
      <c r="F39" s="107"/>
      <c r="G39" s="107"/>
      <c r="H39" s="107"/>
      <c r="I39" s="108"/>
    </row>
    <row r="40" spans="1:49" ht="15" x14ac:dyDescent="0.2">
      <c r="A40" s="109"/>
      <c r="B40" s="20" t="s">
        <v>28</v>
      </c>
      <c r="F40" s="15" t="s">
        <v>320</v>
      </c>
      <c r="G40" s="7"/>
      <c r="I40" s="110"/>
    </row>
    <row r="41" spans="1:49" x14ac:dyDescent="0.2">
      <c r="A41" s="109"/>
      <c r="G41" s="7"/>
      <c r="I41" s="110"/>
    </row>
    <row r="42" spans="1:49" ht="15" x14ac:dyDescent="0.2">
      <c r="A42" s="109"/>
      <c r="B42" s="133" t="s">
        <v>332</v>
      </c>
      <c r="C42" s="107"/>
      <c r="D42" s="108"/>
      <c r="F42" s="134" t="s">
        <v>333</v>
      </c>
      <c r="G42" s="108"/>
      <c r="I42" s="110"/>
    </row>
    <row r="43" spans="1:49" x14ac:dyDescent="0.2">
      <c r="A43" s="109"/>
      <c r="B43" s="135" t="s">
        <v>386</v>
      </c>
      <c r="C43" s="118" t="s">
        <v>387</v>
      </c>
      <c r="D43" s="136" t="str">
        <f>EFICIENCIA!P47</f>
        <v>Potencia Refrigerativa</v>
      </c>
      <c r="F43" s="137" t="s">
        <v>388</v>
      </c>
      <c r="G43" s="138" t="s">
        <v>389</v>
      </c>
      <c r="I43" s="110"/>
    </row>
    <row r="44" spans="1:49" x14ac:dyDescent="0.2">
      <c r="A44" s="109"/>
      <c r="B44" s="135" t="s">
        <v>390</v>
      </c>
      <c r="C44" s="118" t="s">
        <v>391</v>
      </c>
      <c r="D44" s="136">
        <f>EFICIENCIA!P48</f>
        <v>15</v>
      </c>
      <c r="F44" s="139"/>
      <c r="G44" s="139"/>
      <c r="H44" s="12"/>
      <c r="I44" s="140"/>
      <c r="J44" s="139"/>
      <c r="K44" s="139"/>
    </row>
    <row r="45" spans="1:49" x14ac:dyDescent="0.2">
      <c r="A45" s="109"/>
      <c r="B45" s="135" t="s">
        <v>21</v>
      </c>
      <c r="C45" s="118"/>
      <c r="D45" s="136" t="str">
        <f>EFICIENCIA!P49</f>
        <v>&lt; 10 años</v>
      </c>
      <c r="F45" s="139"/>
      <c r="G45" s="139"/>
      <c r="H45" s="12"/>
      <c r="I45" s="140"/>
      <c r="J45" s="139"/>
      <c r="K45" s="139"/>
    </row>
    <row r="46" spans="1:49" ht="15" x14ac:dyDescent="0.2">
      <c r="A46" s="109"/>
      <c r="B46" s="141" t="s">
        <v>22</v>
      </c>
      <c r="C46" s="142" t="s">
        <v>29</v>
      </c>
      <c r="D46" s="143" t="str">
        <f>EFICIENCIA!P50</f>
        <v>[8-16]</v>
      </c>
      <c r="F46" s="139"/>
      <c r="G46" s="139"/>
      <c r="H46" s="12"/>
      <c r="I46" s="140"/>
      <c r="J46" s="139"/>
      <c r="K46" s="139"/>
    </row>
    <row r="47" spans="1:49" ht="15" x14ac:dyDescent="0.2">
      <c r="A47" s="109"/>
      <c r="B47" s="134" t="s">
        <v>348</v>
      </c>
      <c r="C47" s="144"/>
      <c r="D47" s="108"/>
      <c r="F47" s="134" t="s">
        <v>33</v>
      </c>
      <c r="G47" s="107"/>
      <c r="H47" s="108"/>
      <c r="I47" s="140"/>
      <c r="J47" s="139"/>
      <c r="K47" s="139"/>
    </row>
    <row r="48" spans="1:49" x14ac:dyDescent="0.2">
      <c r="A48" s="109"/>
      <c r="B48" s="625" t="s">
        <v>21</v>
      </c>
      <c r="C48" s="10" t="s">
        <v>30</v>
      </c>
      <c r="D48" s="110">
        <v>3.2</v>
      </c>
      <c r="F48" s="146" t="s">
        <v>392</v>
      </c>
      <c r="G48" s="8" t="s">
        <v>327</v>
      </c>
      <c r="H48" s="147">
        <f>+IF($D$43="Potencia Refrigerativa",$D$44*$D$57/$D$48,(IF($D$43="Área a acondicionar",$D$44*$D$58,"")))</f>
        <v>1.3737712989502189E-3</v>
      </c>
      <c r="I48" s="140"/>
      <c r="J48" s="139"/>
      <c r="K48" s="139"/>
    </row>
    <row r="49" spans="1:11" x14ac:dyDescent="0.2">
      <c r="A49" s="109"/>
      <c r="B49" s="626"/>
      <c r="C49" s="124" t="s">
        <v>23</v>
      </c>
      <c r="D49" s="110">
        <v>2.8</v>
      </c>
      <c r="F49" s="146" t="s">
        <v>393</v>
      </c>
      <c r="G49" s="8" t="s">
        <v>112</v>
      </c>
      <c r="H49" s="147">
        <f>+$H$48*VLOOKUP($D$46,$C$51:$D$53,2,FALSE)*$D$54</f>
        <v>4.2861664527246832</v>
      </c>
      <c r="I49" s="140"/>
      <c r="J49" s="139"/>
      <c r="K49" s="139"/>
    </row>
    <row r="50" spans="1:11" x14ac:dyDescent="0.2">
      <c r="A50" s="109"/>
      <c r="B50" s="627"/>
      <c r="C50" s="124" t="s">
        <v>24</v>
      </c>
      <c r="D50" s="110">
        <v>2.4</v>
      </c>
      <c r="F50" s="146" t="s">
        <v>394</v>
      </c>
      <c r="G50" s="8" t="s">
        <v>327</v>
      </c>
      <c r="H50" s="147">
        <f>+IF($D$45="&lt; 10 años",$H$48*$D$48/$D$49,(IF($D$45="&gt; 10 años",$H$48*$D$48/$D$50,"")))</f>
        <v>1.5700243416573933E-3</v>
      </c>
      <c r="I50" s="140"/>
      <c r="J50" s="139"/>
      <c r="K50" s="139"/>
    </row>
    <row r="51" spans="1:11" x14ac:dyDescent="0.2">
      <c r="A51" s="109"/>
      <c r="B51" s="625" t="s">
        <v>22</v>
      </c>
      <c r="C51" s="124" t="s">
        <v>25</v>
      </c>
      <c r="D51" s="110">
        <v>6</v>
      </c>
      <c r="F51" s="146" t="s">
        <v>395</v>
      </c>
      <c r="G51" s="8" t="s">
        <v>112</v>
      </c>
      <c r="H51" s="147">
        <f>+$H$50*VLOOKUP($D$46,$C$51:$D$53,2,FALSE)*$D$54</f>
        <v>4.8984759459710672</v>
      </c>
      <c r="I51" s="140"/>
      <c r="J51" s="139"/>
      <c r="K51" s="139"/>
    </row>
    <row r="52" spans="1:11" x14ac:dyDescent="0.2">
      <c r="A52" s="109"/>
      <c r="B52" s="626"/>
      <c r="C52" s="124" t="s">
        <v>26</v>
      </c>
      <c r="D52" s="110">
        <v>12</v>
      </c>
      <c r="F52" s="146" t="s">
        <v>373</v>
      </c>
      <c r="G52" s="8" t="s">
        <v>112</v>
      </c>
      <c r="H52" s="147">
        <f>+$H$51-$H$49</f>
        <v>0.61230949324638395</v>
      </c>
      <c r="I52" s="140"/>
      <c r="J52" s="139"/>
      <c r="K52" s="139"/>
    </row>
    <row r="53" spans="1:11" x14ac:dyDescent="0.2">
      <c r="A53" s="109"/>
      <c r="B53" s="627"/>
      <c r="C53" s="124" t="s">
        <v>27</v>
      </c>
      <c r="D53" s="110">
        <v>18</v>
      </c>
      <c r="F53" s="146" t="s">
        <v>375</v>
      </c>
      <c r="G53" s="8" t="s">
        <v>39</v>
      </c>
      <c r="H53" s="147">
        <f>+$H$49/1000*$D$55</f>
        <v>1.265704953489599E-3</v>
      </c>
      <c r="I53" s="140"/>
      <c r="J53" s="139"/>
      <c r="K53" s="139"/>
    </row>
    <row r="54" spans="1:11" ht="15" x14ac:dyDescent="0.2">
      <c r="A54" s="109"/>
      <c r="B54" s="150" t="s">
        <v>31</v>
      </c>
      <c r="C54" s="8" t="s">
        <v>37</v>
      </c>
      <c r="D54" s="110">
        <f>52*5</f>
        <v>260</v>
      </c>
      <c r="F54" s="146" t="s">
        <v>40</v>
      </c>
      <c r="G54" s="8" t="s">
        <v>39</v>
      </c>
      <c r="H54" s="147">
        <f>+$H$52/1000*$D$55</f>
        <v>1.8081499335565718E-4</v>
      </c>
      <c r="I54" s="140"/>
      <c r="J54" s="139"/>
      <c r="K54" s="139"/>
    </row>
    <row r="55" spans="1:11" ht="15" x14ac:dyDescent="0.2">
      <c r="A55" s="109"/>
      <c r="B55" s="150" t="s">
        <v>34</v>
      </c>
      <c r="C55" s="8" t="s">
        <v>38</v>
      </c>
      <c r="D55" s="110">
        <v>0.29530000000000001</v>
      </c>
      <c r="F55" s="151" t="s">
        <v>378</v>
      </c>
      <c r="G55" s="131" t="s">
        <v>44</v>
      </c>
      <c r="H55" s="152">
        <f>ROUND(+$H$54*$D$56,0)</f>
        <v>0</v>
      </c>
      <c r="I55" s="140"/>
      <c r="J55" s="139"/>
      <c r="K55" s="139"/>
    </row>
    <row r="56" spans="1:11" x14ac:dyDescent="0.2">
      <c r="A56" s="109"/>
      <c r="B56" s="146" t="s">
        <v>41</v>
      </c>
      <c r="C56" s="8" t="s">
        <v>43</v>
      </c>
      <c r="D56" s="110">
        <v>16.399999999999999</v>
      </c>
      <c r="F56" s="139"/>
      <c r="G56" s="139"/>
      <c r="H56" s="12"/>
      <c r="I56" s="140"/>
      <c r="J56" s="139"/>
      <c r="K56" s="139"/>
    </row>
    <row r="57" spans="1:11" ht="15" x14ac:dyDescent="0.2">
      <c r="A57" s="109"/>
      <c r="B57" s="146" t="s">
        <v>396</v>
      </c>
      <c r="C57" s="8" t="s">
        <v>32</v>
      </c>
      <c r="D57" s="110">
        <f>1/3412.14</f>
        <v>2.9307121044271339E-4</v>
      </c>
      <c r="F57" s="318"/>
      <c r="G57" s="319" t="s">
        <v>1107</v>
      </c>
      <c r="H57" s="319" t="s">
        <v>1091</v>
      </c>
      <c r="I57" s="140"/>
      <c r="J57" s="139"/>
      <c r="K57" s="139"/>
    </row>
    <row r="58" spans="1:11" x14ac:dyDescent="0.2">
      <c r="A58" s="109"/>
      <c r="B58" s="151" t="s">
        <v>42</v>
      </c>
      <c r="C58" s="153" t="s">
        <v>35</v>
      </c>
      <c r="D58" s="132">
        <f>100*1.163/1000</f>
        <v>0.1163</v>
      </c>
      <c r="F58" s="320" t="s">
        <v>854</v>
      </c>
      <c r="G58" s="481">
        <f>+($D$59+$D$60)</f>
        <v>1.4465199468452561E-3</v>
      </c>
      <c r="H58" s="481">
        <v>0</v>
      </c>
      <c r="I58" s="140"/>
      <c r="J58" s="139"/>
      <c r="K58" s="139"/>
    </row>
    <row r="59" spans="1:11" ht="15" x14ac:dyDescent="0.2">
      <c r="A59" s="109"/>
      <c r="B59" s="134" t="s">
        <v>62</v>
      </c>
      <c r="C59" s="154" t="s">
        <v>45</v>
      </c>
      <c r="D59" s="155">
        <f>+$H$53</f>
        <v>1.265704953489599E-3</v>
      </c>
      <c r="F59" s="320" t="s">
        <v>45</v>
      </c>
      <c r="G59" s="481">
        <f>+$D$59</f>
        <v>1.265704953489599E-3</v>
      </c>
      <c r="H59" s="482">
        <f>+$H$54</f>
        <v>1.8081499335565718E-4</v>
      </c>
      <c r="I59" s="140"/>
      <c r="J59" s="139"/>
      <c r="K59" s="139"/>
    </row>
    <row r="60" spans="1:11" x14ac:dyDescent="0.2">
      <c r="A60" s="109"/>
      <c r="B60" s="151"/>
      <c r="C60" s="153" t="s">
        <v>46</v>
      </c>
      <c r="D60" s="14">
        <f>+$H$54</f>
        <v>1.8081499335565718E-4</v>
      </c>
      <c r="F60" s="139"/>
      <c r="G60" s="139"/>
      <c r="H60" s="12"/>
      <c r="I60" s="140"/>
      <c r="J60" s="139"/>
      <c r="K60" s="139"/>
    </row>
    <row r="61" spans="1:11" ht="15" x14ac:dyDescent="0.2">
      <c r="A61" s="129"/>
      <c r="B61" s="130"/>
      <c r="C61" s="156"/>
      <c r="D61" s="131"/>
      <c r="E61" s="131"/>
      <c r="F61" s="157"/>
      <c r="G61" s="157"/>
      <c r="H61" s="158"/>
      <c r="I61" s="159"/>
      <c r="J61" s="139"/>
      <c r="K61" s="139"/>
    </row>
    <row r="62" spans="1:11" x14ac:dyDescent="0.2">
      <c r="A62" s="109"/>
      <c r="F62" s="139"/>
      <c r="G62" s="139"/>
      <c r="H62" s="12"/>
      <c r="I62" s="139"/>
      <c r="J62" s="139"/>
      <c r="K62" s="139"/>
    </row>
    <row r="63" spans="1:11" x14ac:dyDescent="0.2">
      <c r="A63" s="105"/>
      <c r="B63" s="107"/>
      <c r="C63" s="107"/>
      <c r="D63" s="107"/>
      <c r="E63" s="107"/>
      <c r="F63" s="160"/>
      <c r="G63" s="160"/>
      <c r="H63" s="161"/>
      <c r="I63" s="162"/>
      <c r="J63" s="139"/>
      <c r="K63" s="139"/>
    </row>
    <row r="64" spans="1:11" ht="15" x14ac:dyDescent="0.2">
      <c r="A64" s="109"/>
      <c r="B64" s="20" t="s">
        <v>51</v>
      </c>
      <c r="C64" s="20"/>
      <c r="D64" s="20"/>
      <c r="F64" s="139"/>
      <c r="G64" s="139"/>
      <c r="H64" s="12"/>
      <c r="I64" s="140"/>
      <c r="J64" s="139"/>
      <c r="K64" s="139"/>
    </row>
    <row r="65" spans="1:11" x14ac:dyDescent="0.2">
      <c r="A65" s="109"/>
      <c r="B65" s="1"/>
      <c r="F65" s="139"/>
      <c r="G65" s="139"/>
      <c r="H65" s="12"/>
      <c r="I65" s="140"/>
      <c r="J65" s="139"/>
      <c r="K65" s="139"/>
    </row>
    <row r="66" spans="1:11" ht="15" x14ac:dyDescent="0.2">
      <c r="A66" s="109"/>
      <c r="B66" s="133" t="s">
        <v>20</v>
      </c>
      <c r="C66" s="107"/>
      <c r="D66" s="108"/>
      <c r="F66" s="318"/>
      <c r="G66" s="319" t="s">
        <v>1107</v>
      </c>
      <c r="H66" s="319" t="s">
        <v>1091</v>
      </c>
      <c r="I66" s="140"/>
      <c r="J66" s="139"/>
      <c r="K66" s="139"/>
    </row>
    <row r="67" spans="1:11" x14ac:dyDescent="0.2">
      <c r="A67" s="109"/>
      <c r="B67" s="135" t="s">
        <v>60</v>
      </c>
      <c r="C67" s="118" t="s">
        <v>52</v>
      </c>
      <c r="D67" s="136">
        <f>EFICIENCIA!P125</f>
        <v>250</v>
      </c>
      <c r="F67" s="320" t="s">
        <v>854</v>
      </c>
      <c r="G67" s="481">
        <f>+($D$79+$D$80)</f>
        <v>153.55599999999998</v>
      </c>
      <c r="H67" s="481">
        <v>0</v>
      </c>
      <c r="I67" s="140"/>
      <c r="J67" s="139"/>
      <c r="K67" s="139"/>
    </row>
    <row r="68" spans="1:11" x14ac:dyDescent="0.2">
      <c r="A68" s="109"/>
      <c r="B68" s="135" t="s">
        <v>61</v>
      </c>
      <c r="C68" s="118" t="s">
        <v>53</v>
      </c>
      <c r="D68" s="136">
        <f>EFICIENCIA!P126</f>
        <v>100</v>
      </c>
      <c r="F68" s="320" t="s">
        <v>45</v>
      </c>
      <c r="G68" s="481">
        <f>+$D$79</f>
        <v>23.0334</v>
      </c>
      <c r="H68" s="482">
        <f>+$H$77</f>
        <v>130.52259999999998</v>
      </c>
      <c r="I68" s="140"/>
      <c r="J68" s="139"/>
      <c r="K68" s="139"/>
    </row>
    <row r="69" spans="1:11" x14ac:dyDescent="0.2">
      <c r="A69" s="109"/>
      <c r="B69" s="135" t="s">
        <v>55</v>
      </c>
      <c r="C69" s="118" t="s">
        <v>53</v>
      </c>
      <c r="D69" s="136" t="str">
        <f>EFICIENCIA!P127</f>
        <v>Incandescente</v>
      </c>
      <c r="F69" s="139"/>
      <c r="G69" s="139"/>
      <c r="H69" s="12"/>
      <c r="I69" s="140"/>
      <c r="J69" s="139"/>
      <c r="K69" s="139"/>
    </row>
    <row r="70" spans="1:11" ht="15" x14ac:dyDescent="0.2">
      <c r="A70" s="109"/>
      <c r="B70" s="141" t="s">
        <v>22</v>
      </c>
      <c r="C70" s="142" t="s">
        <v>29</v>
      </c>
      <c r="D70" s="143">
        <f>EFICIENCIA!P128</f>
        <v>12</v>
      </c>
      <c r="F70" s="139"/>
      <c r="G70" s="139"/>
      <c r="H70" s="12"/>
      <c r="I70" s="140"/>
      <c r="J70" s="139"/>
      <c r="K70" s="139"/>
    </row>
    <row r="71" spans="1:11" ht="15" x14ac:dyDescent="0.2">
      <c r="A71" s="109"/>
      <c r="B71" s="163" t="s">
        <v>348</v>
      </c>
      <c r="C71" s="107"/>
      <c r="D71" s="108"/>
      <c r="F71" s="163" t="s">
        <v>33</v>
      </c>
      <c r="G71" s="160"/>
      <c r="H71" s="155"/>
      <c r="I71" s="140"/>
      <c r="J71" s="139"/>
      <c r="K71" s="139"/>
    </row>
    <row r="72" spans="1:11" x14ac:dyDescent="0.2">
      <c r="A72" s="109"/>
      <c r="B72" s="628" t="s">
        <v>55</v>
      </c>
      <c r="C72" s="119" t="s">
        <v>56</v>
      </c>
      <c r="D72" s="110">
        <v>0.2</v>
      </c>
      <c r="F72" s="146" t="s">
        <v>392</v>
      </c>
      <c r="G72" s="8" t="s">
        <v>327</v>
      </c>
      <c r="H72" s="147">
        <f>+$D$67*$D$68/1000</f>
        <v>25</v>
      </c>
      <c r="I72" s="140"/>
      <c r="J72" s="139"/>
      <c r="K72" s="139"/>
    </row>
    <row r="73" spans="1:11" x14ac:dyDescent="0.2">
      <c r="A73" s="109"/>
      <c r="B73" s="628"/>
      <c r="C73" s="119" t="s">
        <v>57</v>
      </c>
      <c r="D73" s="110">
        <v>0.45</v>
      </c>
      <c r="F73" s="146" t="s">
        <v>397</v>
      </c>
      <c r="G73" s="8" t="s">
        <v>112</v>
      </c>
      <c r="H73" s="147">
        <f>+$H$72*$D$70*$D$76</f>
        <v>78000</v>
      </c>
      <c r="I73" s="140"/>
      <c r="J73" s="139"/>
      <c r="K73" s="139"/>
    </row>
    <row r="74" spans="1:11" x14ac:dyDescent="0.2">
      <c r="A74" s="109"/>
      <c r="B74" s="628"/>
      <c r="C74" s="119" t="s">
        <v>58</v>
      </c>
      <c r="D74" s="110">
        <v>0.5</v>
      </c>
      <c r="F74" s="146" t="s">
        <v>398</v>
      </c>
      <c r="G74" s="8" t="s">
        <v>112</v>
      </c>
      <c r="H74" s="147">
        <f>+$H$73/(1-VLOOKUP($D$69,$C$72:$D$75,2,FALSE))</f>
        <v>519999.99999999994</v>
      </c>
      <c r="I74" s="140"/>
      <c r="J74" s="139"/>
      <c r="K74" s="139"/>
    </row>
    <row r="75" spans="1:11" x14ac:dyDescent="0.2">
      <c r="A75" s="109"/>
      <c r="B75" s="628"/>
      <c r="C75" s="119" t="s">
        <v>59</v>
      </c>
      <c r="D75" s="110">
        <v>0.85</v>
      </c>
      <c r="F75" s="146" t="s">
        <v>373</v>
      </c>
      <c r="G75" s="8" t="s">
        <v>112</v>
      </c>
      <c r="H75" s="147">
        <f>+$H$74-$H$73</f>
        <v>441999.99999999994</v>
      </c>
      <c r="I75" s="140"/>
      <c r="J75" s="139"/>
      <c r="K75" s="139"/>
    </row>
    <row r="76" spans="1:11" ht="15" x14ac:dyDescent="0.2">
      <c r="A76" s="109"/>
      <c r="B76" s="150" t="s">
        <v>31</v>
      </c>
      <c r="C76" s="8" t="s">
        <v>37</v>
      </c>
      <c r="D76" s="110">
        <v>260</v>
      </c>
      <c r="F76" s="146" t="s">
        <v>375</v>
      </c>
      <c r="G76" s="8" t="s">
        <v>39</v>
      </c>
      <c r="H76" s="147">
        <f>+$H$73/1000*$D$77</f>
        <v>23.0334</v>
      </c>
      <c r="I76" s="140"/>
      <c r="J76" s="139"/>
      <c r="K76" s="139"/>
    </row>
    <row r="77" spans="1:11" ht="15" x14ac:dyDescent="0.2">
      <c r="A77" s="109"/>
      <c r="B77" s="150" t="s">
        <v>34</v>
      </c>
      <c r="C77" s="1" t="s">
        <v>38</v>
      </c>
      <c r="D77" s="110">
        <v>0.29530000000000001</v>
      </c>
      <c r="F77" s="146" t="s">
        <v>40</v>
      </c>
      <c r="G77" s="8" t="s">
        <v>39</v>
      </c>
      <c r="H77" s="147">
        <f>+$H$75/1000*$D$77</f>
        <v>130.52259999999998</v>
      </c>
      <c r="I77" s="140"/>
      <c r="J77" s="139"/>
      <c r="K77" s="139"/>
    </row>
    <row r="78" spans="1:11" x14ac:dyDescent="0.2">
      <c r="A78" s="109"/>
      <c r="B78" s="151" t="s">
        <v>41</v>
      </c>
      <c r="C78" s="153" t="s">
        <v>43</v>
      </c>
      <c r="D78" s="132">
        <v>16.399999999999999</v>
      </c>
      <c r="F78" s="151" t="s">
        <v>378</v>
      </c>
      <c r="G78" s="131" t="s">
        <v>44</v>
      </c>
      <c r="H78" s="152">
        <f>ROUND(+$H$77*$D$78,0)</f>
        <v>2141</v>
      </c>
      <c r="I78" s="140"/>
      <c r="J78" s="139"/>
      <c r="K78" s="139"/>
    </row>
    <row r="79" spans="1:11" ht="15" x14ac:dyDescent="0.2">
      <c r="A79" s="109"/>
      <c r="B79" s="134" t="s">
        <v>62</v>
      </c>
      <c r="C79" s="154" t="s">
        <v>45</v>
      </c>
      <c r="D79" s="155">
        <f>$H$76</f>
        <v>23.0334</v>
      </c>
      <c r="F79" s="139"/>
      <c r="G79" s="139"/>
      <c r="H79" s="12"/>
      <c r="I79" s="140"/>
      <c r="J79" s="139"/>
      <c r="K79" s="139"/>
    </row>
    <row r="80" spans="1:11" x14ac:dyDescent="0.2">
      <c r="A80" s="109"/>
      <c r="B80" s="151"/>
      <c r="C80" s="153" t="s">
        <v>46</v>
      </c>
      <c r="D80" s="164">
        <f>$H$77</f>
        <v>130.52259999999998</v>
      </c>
      <c r="I80" s="110"/>
    </row>
    <row r="81" spans="1:13" ht="15" x14ac:dyDescent="0.2">
      <c r="A81" s="129"/>
      <c r="B81" s="130"/>
      <c r="C81" s="156"/>
      <c r="D81" s="131"/>
      <c r="E81" s="131"/>
      <c r="F81" s="131"/>
      <c r="G81" s="131"/>
      <c r="H81" s="131"/>
      <c r="I81" s="132"/>
    </row>
    <row r="82" spans="1:13" x14ac:dyDescent="0.2"/>
    <row r="83" spans="1:13" x14ac:dyDescent="0.2">
      <c r="A83" s="105"/>
      <c r="B83" s="107"/>
      <c r="C83" s="107"/>
      <c r="D83" s="107"/>
      <c r="E83" s="107"/>
      <c r="F83" s="107"/>
      <c r="G83" s="107" t="s">
        <v>399</v>
      </c>
      <c r="H83" s="107"/>
      <c r="I83" s="162"/>
    </row>
    <row r="84" spans="1:13" ht="15" x14ac:dyDescent="0.2">
      <c r="A84" s="109"/>
      <c r="B84" s="20" t="s">
        <v>400</v>
      </c>
      <c r="C84" s="20"/>
      <c r="D84" s="20"/>
      <c r="F84" s="15" t="s">
        <v>320</v>
      </c>
      <c r="G84" s="165" t="s">
        <v>401</v>
      </c>
      <c r="I84" s="140"/>
    </row>
    <row r="85" spans="1:13" x14ac:dyDescent="0.2">
      <c r="A85" s="109"/>
      <c r="B85" s="1"/>
      <c r="G85" s="1" t="s">
        <v>402</v>
      </c>
      <c r="I85" s="140">
        <v>0</v>
      </c>
      <c r="M85" s="166"/>
    </row>
    <row r="86" spans="1:13" ht="15" x14ac:dyDescent="0.2">
      <c r="A86" s="109"/>
      <c r="B86" s="133" t="s">
        <v>20</v>
      </c>
      <c r="C86" s="107"/>
      <c r="D86" s="108"/>
      <c r="F86" s="163" t="s">
        <v>33</v>
      </c>
      <c r="G86" s="160"/>
      <c r="H86" s="155"/>
      <c r="I86" s="140"/>
      <c r="M86" s="166"/>
    </row>
    <row r="87" spans="1:13" x14ac:dyDescent="0.2">
      <c r="A87" s="109"/>
      <c r="B87" s="135" t="s">
        <v>403</v>
      </c>
      <c r="C87" s="118" t="s">
        <v>53</v>
      </c>
      <c r="D87" s="136" t="str">
        <f>EFICIENCIA!P149</f>
        <v>Eléctrica</v>
      </c>
      <c r="F87" s="146" t="s">
        <v>404</v>
      </c>
      <c r="G87" s="8" t="s">
        <v>405</v>
      </c>
      <c r="H87" s="147">
        <f>+IF(D87="A gas",$D$88*$D$97*$D$92,(IF($D$87="Eléctrica",$D$88*$D$91,"")))</f>
        <v>11.1</v>
      </c>
      <c r="I87" s="140"/>
    </row>
    <row r="88" spans="1:13" x14ac:dyDescent="0.2">
      <c r="A88" s="109"/>
      <c r="B88" s="135" t="s">
        <v>406</v>
      </c>
      <c r="C88" s="118" t="s">
        <v>407</v>
      </c>
      <c r="D88" s="136">
        <f>EFICIENCIA!P150</f>
        <v>15</v>
      </c>
      <c r="F88" s="146" t="s">
        <v>408</v>
      </c>
      <c r="G88" s="8" t="s">
        <v>112</v>
      </c>
      <c r="H88" s="147">
        <f>+$H$87/VLOOKUP($D$87,$C$91:$D$92,2,FALSE)</f>
        <v>15</v>
      </c>
      <c r="I88" s="140"/>
    </row>
    <row r="89" spans="1:13" ht="15" x14ac:dyDescent="0.2">
      <c r="A89" s="109"/>
      <c r="B89" s="163" t="s">
        <v>348</v>
      </c>
      <c r="C89" s="107"/>
      <c r="D89" s="108"/>
      <c r="F89" s="146" t="s">
        <v>409</v>
      </c>
      <c r="G89" s="8" t="s">
        <v>112</v>
      </c>
      <c r="H89" s="147">
        <f>+$H$87/$D$90</f>
        <v>13.214285714285714</v>
      </c>
      <c r="I89" s="140"/>
    </row>
    <row r="90" spans="1:13" x14ac:dyDescent="0.2">
      <c r="A90" s="109"/>
      <c r="B90" s="628" t="s">
        <v>410</v>
      </c>
      <c r="C90" s="1" t="s">
        <v>411</v>
      </c>
      <c r="D90" s="167">
        <v>0.84</v>
      </c>
      <c r="F90" s="146" t="s">
        <v>373</v>
      </c>
      <c r="G90" s="8" t="s">
        <v>112</v>
      </c>
      <c r="H90" s="147">
        <f>+$H$88-$H$89</f>
        <v>1.7857142857142865</v>
      </c>
      <c r="I90" s="140"/>
    </row>
    <row r="91" spans="1:13" x14ac:dyDescent="0.2">
      <c r="A91" s="109"/>
      <c r="B91" s="628"/>
      <c r="C91" s="168" t="s">
        <v>412</v>
      </c>
      <c r="D91" s="167">
        <v>0.74</v>
      </c>
      <c r="F91" s="146" t="s">
        <v>375</v>
      </c>
      <c r="G91" s="8" t="s">
        <v>39</v>
      </c>
      <c r="H91" s="147">
        <f>+$H$89/1000*$D$94</f>
        <v>3.9021785714285712E-3</v>
      </c>
      <c r="I91" s="140"/>
    </row>
    <row r="92" spans="1:13" x14ac:dyDescent="0.2">
      <c r="A92" s="109"/>
      <c r="B92" s="628"/>
      <c r="C92" s="169" t="s">
        <v>413</v>
      </c>
      <c r="D92" s="167">
        <v>0.4</v>
      </c>
      <c r="F92" s="146" t="s">
        <v>40</v>
      </c>
      <c r="G92" s="8" t="s">
        <v>39</v>
      </c>
      <c r="H92" s="147">
        <f>+IF($D$87="A gas",$H$90/1000*$D$95,(IF($D$87="Eléctrica",$H$90/1000*$D$94,"")))</f>
        <v>5.2732142857142886E-4</v>
      </c>
      <c r="I92" s="140"/>
    </row>
    <row r="93" spans="1:13" ht="15" x14ac:dyDescent="0.2">
      <c r="A93" s="109"/>
      <c r="B93" s="150" t="s">
        <v>414</v>
      </c>
      <c r="C93" s="8" t="s">
        <v>415</v>
      </c>
      <c r="D93" s="110">
        <f>5*52</f>
        <v>260</v>
      </c>
      <c r="F93" s="151" t="s">
        <v>378</v>
      </c>
      <c r="G93" s="131" t="s">
        <v>44</v>
      </c>
      <c r="H93" s="152">
        <f>ROUND(+$H$92*$D$96,0)</f>
        <v>0</v>
      </c>
      <c r="I93" s="140"/>
    </row>
    <row r="94" spans="1:13" ht="15" x14ac:dyDescent="0.2">
      <c r="A94" s="109"/>
      <c r="B94" s="150" t="s">
        <v>34</v>
      </c>
      <c r="C94" s="1" t="s">
        <v>38</v>
      </c>
      <c r="D94" s="110">
        <v>0.29530000000000001</v>
      </c>
      <c r="I94" s="140"/>
    </row>
    <row r="95" spans="1:13" ht="15" x14ac:dyDescent="0.2">
      <c r="A95" s="109"/>
      <c r="B95" s="150" t="s">
        <v>34</v>
      </c>
      <c r="C95" s="1" t="s">
        <v>38</v>
      </c>
      <c r="D95" s="110">
        <v>0.19650000000000001</v>
      </c>
      <c r="F95" s="1" t="s">
        <v>416</v>
      </c>
      <c r="I95" s="140"/>
    </row>
    <row r="96" spans="1:13" x14ac:dyDescent="0.2">
      <c r="A96" s="109"/>
      <c r="B96" s="151" t="s">
        <v>41</v>
      </c>
      <c r="C96" s="153" t="s">
        <v>43</v>
      </c>
      <c r="D96" s="132">
        <v>16.399999999999999</v>
      </c>
      <c r="F96" t="s">
        <v>417</v>
      </c>
      <c r="I96" s="140"/>
    </row>
    <row r="97" spans="1:13" ht="15" x14ac:dyDescent="0.2">
      <c r="A97" s="109"/>
      <c r="B97" s="146" t="s">
        <v>418</v>
      </c>
      <c r="C97" s="8" t="s">
        <v>419</v>
      </c>
      <c r="D97" s="110">
        <v>256.33</v>
      </c>
      <c r="F97" s="1" t="s">
        <v>420</v>
      </c>
      <c r="G97" s="318"/>
      <c r="H97" s="319" t="s">
        <v>1107</v>
      </c>
      <c r="I97" s="319" t="s">
        <v>1091</v>
      </c>
    </row>
    <row r="98" spans="1:13" ht="15" x14ac:dyDescent="0.2">
      <c r="A98" s="109"/>
      <c r="B98" s="134" t="s">
        <v>62</v>
      </c>
      <c r="C98" s="154" t="s">
        <v>45</v>
      </c>
      <c r="D98" s="155">
        <f>+$H$91</f>
        <v>3.9021785714285712E-3</v>
      </c>
      <c r="F98" s="139" t="s">
        <v>421</v>
      </c>
      <c r="G98" s="320" t="s">
        <v>854</v>
      </c>
      <c r="H98" s="483">
        <f>+($D$98+$D$99)</f>
        <v>4.4295000000000003E-3</v>
      </c>
      <c r="I98" s="483">
        <v>0</v>
      </c>
    </row>
    <row r="99" spans="1:13" x14ac:dyDescent="0.2">
      <c r="A99" s="109"/>
      <c r="B99" s="151"/>
      <c r="C99" s="153" t="s">
        <v>46</v>
      </c>
      <c r="D99" s="164">
        <f>+$H$92</f>
        <v>5.2732142857142886E-4</v>
      </c>
      <c r="G99" s="320" t="s">
        <v>45</v>
      </c>
      <c r="H99" s="483">
        <f>+$D$98</f>
        <v>3.9021785714285712E-3</v>
      </c>
      <c r="I99" s="484">
        <f>+$H$92</f>
        <v>5.2732142857142886E-4</v>
      </c>
    </row>
    <row r="100" spans="1:13" ht="15" x14ac:dyDescent="0.2">
      <c r="A100" s="129"/>
      <c r="B100" s="130"/>
      <c r="C100" s="156"/>
      <c r="D100" s="131"/>
      <c r="E100" s="131"/>
      <c r="F100" s="131"/>
      <c r="G100" s="131"/>
      <c r="H100" s="131"/>
      <c r="I100" s="132"/>
    </row>
    <row r="101" spans="1:13" x14ac:dyDescent="0.2"/>
    <row r="102" spans="1:13" x14ac:dyDescent="0.2">
      <c r="A102" s="105"/>
      <c r="B102" s="106"/>
      <c r="C102" s="107"/>
      <c r="D102" s="107"/>
      <c r="E102" s="107"/>
      <c r="F102" s="107"/>
      <c r="G102" s="107"/>
      <c r="H102" s="107"/>
      <c r="I102" s="108"/>
      <c r="J102" s="1" t="s">
        <v>422</v>
      </c>
      <c r="K102" s="1" t="s">
        <v>423</v>
      </c>
    </row>
    <row r="103" spans="1:13" ht="15" x14ac:dyDescent="0.2">
      <c r="A103" s="109"/>
      <c r="B103" s="20" t="s">
        <v>424</v>
      </c>
      <c r="F103" s="15" t="s">
        <v>320</v>
      </c>
      <c r="G103" s="7"/>
      <c r="I103" s="110"/>
      <c r="J103" s="1" t="s">
        <v>425</v>
      </c>
    </row>
    <row r="104" spans="1:13" x14ac:dyDescent="0.2">
      <c r="A104" s="109"/>
      <c r="G104" s="7"/>
      <c r="I104" s="110"/>
      <c r="J104" t="s">
        <v>426</v>
      </c>
      <c r="K104" s="1" t="s">
        <v>427</v>
      </c>
      <c r="L104" s="1">
        <v>67.5</v>
      </c>
      <c r="M104" s="1">
        <f>100-L104</f>
        <v>32.5</v>
      </c>
    </row>
    <row r="105" spans="1:13" ht="15" x14ac:dyDescent="0.2">
      <c r="A105" s="109"/>
      <c r="B105" s="133" t="s">
        <v>332</v>
      </c>
      <c r="C105" s="107"/>
      <c r="D105" s="108"/>
      <c r="F105" s="134" t="s">
        <v>333</v>
      </c>
      <c r="G105" s="108"/>
      <c r="I105" s="110"/>
      <c r="K105" s="1" t="s">
        <v>428</v>
      </c>
      <c r="L105" s="1">
        <v>77.5</v>
      </c>
      <c r="M105" s="1">
        <f t="shared" ref="M105:M109" si="7">100-L105</f>
        <v>22.5</v>
      </c>
    </row>
    <row r="106" spans="1:13" x14ac:dyDescent="0.2">
      <c r="A106" s="109"/>
      <c r="B106" s="135" t="s">
        <v>386</v>
      </c>
      <c r="C106" s="118" t="s">
        <v>429</v>
      </c>
      <c r="D106" s="136" t="str">
        <f>EFICIENCIA!P77</f>
        <v>Ancho y alto</v>
      </c>
      <c r="F106" s="304" t="s">
        <v>430</v>
      </c>
      <c r="G106" s="305" t="s">
        <v>431</v>
      </c>
      <c r="H106" s="119" t="s">
        <v>808</v>
      </c>
      <c r="I106" s="110"/>
      <c r="K106" s="1" t="s">
        <v>432</v>
      </c>
      <c r="L106" s="1">
        <v>92.5</v>
      </c>
      <c r="M106" s="1">
        <f t="shared" si="7"/>
        <v>7.5</v>
      </c>
    </row>
    <row r="107" spans="1:13" x14ac:dyDescent="0.2">
      <c r="A107" s="109"/>
      <c r="B107" s="135" t="s">
        <v>442</v>
      </c>
      <c r="C107" s="118" t="s">
        <v>433</v>
      </c>
      <c r="D107" s="136">
        <f>EFICIENCIA!P78</f>
        <v>1000</v>
      </c>
      <c r="E107" s="1">
        <f>EFICIENCIA!$P$81*EFICIENCIA!$P$82*0.6*1000</f>
        <v>0</v>
      </c>
      <c r="F107" s="139"/>
      <c r="G107" s="139"/>
      <c r="H107" s="12"/>
      <c r="I107" s="140"/>
      <c r="K107" s="170" t="s">
        <v>434</v>
      </c>
      <c r="L107" s="1">
        <v>107.5</v>
      </c>
      <c r="M107" s="1">
        <f t="shared" si="7"/>
        <v>-7.5</v>
      </c>
    </row>
    <row r="108" spans="1:13" x14ac:dyDescent="0.2">
      <c r="A108" s="109"/>
      <c r="B108" s="135" t="s">
        <v>21</v>
      </c>
      <c r="C108" s="118" t="s">
        <v>435</v>
      </c>
      <c r="D108" s="136" t="str">
        <f>EFICIENCIA!P79</f>
        <v>&lt; 10 años</v>
      </c>
      <c r="F108" s="139"/>
      <c r="G108" s="139"/>
      <c r="H108" s="12"/>
      <c r="I108" s="140"/>
      <c r="K108" s="1" t="s">
        <v>436</v>
      </c>
      <c r="L108" s="1">
        <v>122.5</v>
      </c>
      <c r="M108" s="1">
        <f t="shared" si="7"/>
        <v>-22.5</v>
      </c>
    </row>
    <row r="109" spans="1:13" ht="15" x14ac:dyDescent="0.2">
      <c r="A109" s="109"/>
      <c r="B109" s="134" t="s">
        <v>437</v>
      </c>
      <c r="C109" s="144"/>
      <c r="D109" s="171" t="s">
        <v>438</v>
      </c>
      <c r="E109" s="172" t="s">
        <v>439</v>
      </c>
      <c r="F109" s="139"/>
      <c r="G109" s="139"/>
      <c r="H109" s="12"/>
      <c r="I109" s="140"/>
      <c r="K109" s="1" t="s">
        <v>440</v>
      </c>
      <c r="L109" s="1">
        <v>132.5</v>
      </c>
      <c r="M109" s="1">
        <f t="shared" si="7"/>
        <v>-32.5</v>
      </c>
    </row>
    <row r="110" spans="1:13" ht="15" x14ac:dyDescent="0.2">
      <c r="A110" s="109"/>
      <c r="B110" s="145" t="s">
        <v>21</v>
      </c>
      <c r="C110" s="10" t="s">
        <v>30</v>
      </c>
      <c r="D110" s="173">
        <v>0.53</v>
      </c>
      <c r="E110" s="174">
        <v>205.88</v>
      </c>
      <c r="F110" s="134" t="s">
        <v>33</v>
      </c>
      <c r="G110" s="107"/>
      <c r="H110" s="108"/>
      <c r="I110" s="140"/>
      <c r="K110" s="1" t="s">
        <v>441</v>
      </c>
    </row>
    <row r="111" spans="1:13" ht="15" x14ac:dyDescent="0.2">
      <c r="A111" s="109"/>
      <c r="B111" s="148"/>
      <c r="C111" s="124" t="s">
        <v>23</v>
      </c>
      <c r="D111" s="173">
        <v>0.78</v>
      </c>
      <c r="E111" s="174">
        <v>305</v>
      </c>
      <c r="F111" s="146" t="s">
        <v>442</v>
      </c>
      <c r="G111" s="8" t="s">
        <v>443</v>
      </c>
      <c r="H111" s="175">
        <f>+IF(D106="Volumen en litros",D107,(IF(D106="Volumen en pies cúbicos",D107*D115,(IF(D106="Ancho y alto",$E$107,"")))))</f>
        <v>0</v>
      </c>
      <c r="I111" s="140"/>
    </row>
    <row r="112" spans="1:13" ht="15" x14ac:dyDescent="0.2">
      <c r="A112" s="109"/>
      <c r="B112" s="149"/>
      <c r="C112" s="124" t="s">
        <v>24</v>
      </c>
      <c r="D112" s="173">
        <v>1.03</v>
      </c>
      <c r="E112" s="174">
        <v>404.13</v>
      </c>
      <c r="F112" s="146" t="s">
        <v>393</v>
      </c>
      <c r="G112" s="8" t="s">
        <v>112</v>
      </c>
      <c r="H112" s="175">
        <f>$D$110*$H$111+E110</f>
        <v>205.88</v>
      </c>
      <c r="I112" s="140"/>
    </row>
    <row r="113" spans="1:16" ht="15" x14ac:dyDescent="0.2">
      <c r="A113" s="109"/>
      <c r="B113" s="150" t="s">
        <v>31</v>
      </c>
      <c r="C113" s="8" t="s">
        <v>37</v>
      </c>
      <c r="D113" s="110">
        <f>52*5</f>
        <v>260</v>
      </c>
      <c r="F113" s="146" t="s">
        <v>395</v>
      </c>
      <c r="G113" s="8" t="s">
        <v>112</v>
      </c>
      <c r="H113" s="175">
        <f>+IF($D$108="&lt; 10 años",$D$111*$H$111+$E$111,(IF($D$108="&gt; 10 años",$D$112*$H$111+$E$112,"")))</f>
        <v>305</v>
      </c>
      <c r="I113" s="140"/>
    </row>
    <row r="114" spans="1:16" ht="15" x14ac:dyDescent="0.2">
      <c r="A114" s="109"/>
      <c r="B114" s="150" t="s">
        <v>34</v>
      </c>
      <c r="C114" s="8" t="s">
        <v>38</v>
      </c>
      <c r="D114" s="110">
        <v>0.29530000000000001</v>
      </c>
      <c r="F114" s="146" t="s">
        <v>373</v>
      </c>
      <c r="G114" s="8" t="s">
        <v>112</v>
      </c>
      <c r="H114" s="147">
        <f>+$H$113-$H$112</f>
        <v>99.12</v>
      </c>
      <c r="I114" s="140"/>
      <c r="K114" s="621" t="s">
        <v>444</v>
      </c>
      <c r="L114" s="621"/>
      <c r="M114" s="621" t="s">
        <v>427</v>
      </c>
      <c r="N114" s="621"/>
      <c r="O114" s="621" t="s">
        <v>441</v>
      </c>
      <c r="P114" s="621"/>
    </row>
    <row r="115" spans="1:16" x14ac:dyDescent="0.2">
      <c r="A115" s="109"/>
      <c r="B115" s="146" t="s">
        <v>445</v>
      </c>
      <c r="C115" s="1" t="s">
        <v>446</v>
      </c>
      <c r="D115" s="110">
        <v>28.316800000000001</v>
      </c>
      <c r="F115" s="146" t="s">
        <v>375</v>
      </c>
      <c r="G115" s="8" t="s">
        <v>39</v>
      </c>
      <c r="H115" s="147">
        <f>+$H$112/1000*$D$114</f>
        <v>6.0796364000000006E-2</v>
      </c>
      <c r="I115" s="140"/>
      <c r="J115" s="1" t="s">
        <v>447</v>
      </c>
      <c r="K115" s="1" t="s">
        <v>448</v>
      </c>
      <c r="L115" s="1" t="s">
        <v>449</v>
      </c>
      <c r="M115" s="1" t="s">
        <v>448</v>
      </c>
      <c r="N115" s="1" t="s">
        <v>449</v>
      </c>
      <c r="O115" s="1" t="s">
        <v>448</v>
      </c>
      <c r="P115" s="1" t="s">
        <v>449</v>
      </c>
    </row>
    <row r="116" spans="1:16" x14ac:dyDescent="0.2">
      <c r="A116" s="109"/>
      <c r="B116" s="151" t="s">
        <v>41</v>
      </c>
      <c r="C116" s="153" t="s">
        <v>43</v>
      </c>
      <c r="D116" s="132">
        <v>16.399999999999999</v>
      </c>
      <c r="F116" s="146" t="s">
        <v>40</v>
      </c>
      <c r="G116" s="8" t="s">
        <v>39</v>
      </c>
      <c r="H116" s="147">
        <f>+$H$114/1000*$D$114</f>
        <v>2.9270136000000002E-2</v>
      </c>
      <c r="I116" s="140"/>
      <c r="J116" s="1" t="s">
        <v>450</v>
      </c>
      <c r="K116" s="1">
        <v>0.6</v>
      </c>
      <c r="L116" s="1">
        <v>235</v>
      </c>
      <c r="M116" s="1">
        <v>0.41</v>
      </c>
      <c r="N116" s="1">
        <v>158.30000000000001</v>
      </c>
      <c r="O116" s="1">
        <v>0.8</v>
      </c>
      <c r="P116" s="1">
        <v>311.38</v>
      </c>
    </row>
    <row r="117" spans="1:16" ht="15" x14ac:dyDescent="0.2">
      <c r="A117" s="109"/>
      <c r="B117" s="134" t="s">
        <v>62</v>
      </c>
      <c r="C117" s="154" t="s">
        <v>45</v>
      </c>
      <c r="D117" s="155">
        <f>+$H$115</f>
        <v>6.0796364000000006E-2</v>
      </c>
      <c r="F117" s="151" t="s">
        <v>378</v>
      </c>
      <c r="G117" s="131" t="s">
        <v>44</v>
      </c>
      <c r="H117" s="152">
        <f>ROUND(+$H$116*$D$116,0)</f>
        <v>0</v>
      </c>
      <c r="I117" s="140"/>
      <c r="J117" s="1">
        <v>2</v>
      </c>
      <c r="K117" s="1">
        <v>0.22</v>
      </c>
      <c r="L117" s="1">
        <v>237</v>
      </c>
      <c r="M117" s="1">
        <v>0.15</v>
      </c>
      <c r="N117" s="1">
        <v>159.97999999999999</v>
      </c>
      <c r="O117" s="1">
        <v>0.28999999999999998</v>
      </c>
      <c r="P117" s="1">
        <v>314.02999999999997</v>
      </c>
    </row>
    <row r="118" spans="1:16" x14ac:dyDescent="0.2">
      <c r="A118" s="109"/>
      <c r="B118" s="151"/>
      <c r="C118" s="153" t="s">
        <v>46</v>
      </c>
      <c r="D118" s="14">
        <f>+$H$116</f>
        <v>2.9270136000000002E-2</v>
      </c>
      <c r="I118" s="140"/>
      <c r="J118" s="1" t="s">
        <v>451</v>
      </c>
      <c r="K118" s="176">
        <v>0.78</v>
      </c>
      <c r="L118" s="176">
        <v>305</v>
      </c>
      <c r="M118" s="176">
        <v>0.53</v>
      </c>
      <c r="N118" s="176">
        <v>205.88</v>
      </c>
      <c r="O118" s="176">
        <v>1.03</v>
      </c>
      <c r="P118" s="176">
        <v>404.13</v>
      </c>
    </row>
    <row r="119" spans="1:16" x14ac:dyDescent="0.2">
      <c r="A119" s="129"/>
      <c r="B119" s="130"/>
      <c r="C119" s="131"/>
      <c r="D119" s="131"/>
      <c r="E119" s="131"/>
      <c r="F119" s="157"/>
      <c r="G119" s="157"/>
      <c r="H119" s="158"/>
      <c r="I119" s="159"/>
      <c r="J119" s="1">
        <v>9</v>
      </c>
      <c r="K119" s="1">
        <v>0.47</v>
      </c>
      <c r="L119" s="1">
        <v>289</v>
      </c>
      <c r="M119" s="1">
        <v>0.32</v>
      </c>
      <c r="N119" s="1">
        <v>198.5</v>
      </c>
      <c r="O119" s="1">
        <v>0.62</v>
      </c>
      <c r="P119" s="1">
        <v>382.93</v>
      </c>
    </row>
    <row r="120" spans="1:16" ht="15" x14ac:dyDescent="0.2">
      <c r="C120" s="318"/>
      <c r="D120" s="319" t="s">
        <v>1107</v>
      </c>
      <c r="E120" s="319" t="s">
        <v>1091</v>
      </c>
      <c r="F120" s="139"/>
      <c r="G120" s="139"/>
      <c r="H120" s="12"/>
      <c r="I120" s="139"/>
      <c r="J120" s="1">
        <v>10</v>
      </c>
      <c r="K120" s="1">
        <v>0.62</v>
      </c>
      <c r="L120" s="1">
        <v>376</v>
      </c>
      <c r="M120" s="1">
        <v>0.42</v>
      </c>
      <c r="N120" s="1">
        <v>253.8</v>
      </c>
      <c r="O120" s="1">
        <v>0.82</v>
      </c>
      <c r="P120" s="1">
        <v>498.2</v>
      </c>
    </row>
    <row r="121" spans="1:16" x14ac:dyDescent="0.2">
      <c r="C121" s="320" t="s">
        <v>854</v>
      </c>
      <c r="D121" s="481">
        <f>+($D$117+$D$118)</f>
        <v>9.0066500000000008E-2</v>
      </c>
      <c r="E121" s="481">
        <v>0</v>
      </c>
      <c r="F121" s="139"/>
      <c r="G121" s="139"/>
      <c r="H121" s="12"/>
      <c r="I121" s="139"/>
      <c r="J121" s="1">
        <v>11</v>
      </c>
      <c r="K121" s="1">
        <v>0.48</v>
      </c>
      <c r="L121" s="1">
        <v>195</v>
      </c>
      <c r="M121" s="1">
        <v>0.32</v>
      </c>
      <c r="N121" s="1">
        <v>131.63</v>
      </c>
      <c r="O121" s="1">
        <v>0.64</v>
      </c>
      <c r="P121" s="1">
        <v>258.38</v>
      </c>
    </row>
    <row r="122" spans="1:16" x14ac:dyDescent="0.2">
      <c r="C122" s="320" t="s">
        <v>45</v>
      </c>
      <c r="D122" s="481">
        <f>+$D$117</f>
        <v>6.0796364000000006E-2</v>
      </c>
      <c r="E122" s="482">
        <f>+$H$116</f>
        <v>2.9270136000000002E-2</v>
      </c>
      <c r="F122" s="139"/>
      <c r="G122" s="139"/>
      <c r="H122" s="12"/>
      <c r="I122" s="139"/>
      <c r="K122" s="1">
        <f>+(K116*2+K117+K118*5+K119+K120+K121)/11</f>
        <v>0.62636363636363646</v>
      </c>
      <c r="L122" s="1">
        <f t="shared" ref="L122:P122" si="8">+(L116*2+L117+L118*5+L119+L120+L121)/11</f>
        <v>281.09090909090907</v>
      </c>
      <c r="M122" s="1">
        <f t="shared" si="8"/>
        <v>0.42545454545454553</v>
      </c>
      <c r="N122" s="1">
        <f t="shared" si="8"/>
        <v>189.99181818181816</v>
      </c>
      <c r="O122" s="1">
        <f t="shared" si="8"/>
        <v>0.82909090909090921</v>
      </c>
      <c r="P122" s="1">
        <f t="shared" si="8"/>
        <v>372.45</v>
      </c>
    </row>
    <row r="123" spans="1:16" x14ac:dyDescent="0.2">
      <c r="F123" s="139"/>
      <c r="G123" s="139"/>
      <c r="H123" s="12"/>
      <c r="I123" s="139"/>
    </row>
    <row r="124" spans="1:16" ht="15" x14ac:dyDescent="0.2">
      <c r="C124" s="69"/>
      <c r="F124" s="139"/>
      <c r="G124" s="139"/>
      <c r="H124" s="12"/>
      <c r="I124" s="139"/>
    </row>
    <row r="125" spans="1:16" x14ac:dyDescent="0.2">
      <c r="B125" s="105"/>
      <c r="C125" s="106"/>
      <c r="D125" s="107"/>
      <c r="E125" s="107"/>
      <c r="F125" s="107"/>
      <c r="G125" s="107"/>
      <c r="H125" s="107"/>
      <c r="I125" s="107"/>
      <c r="J125" s="108"/>
    </row>
    <row r="126" spans="1:16" ht="15" x14ac:dyDescent="0.2">
      <c r="B126" s="109"/>
      <c r="C126" s="20" t="s">
        <v>853</v>
      </c>
      <c r="G126" s="316" t="s">
        <v>33</v>
      </c>
      <c r="H126" s="7"/>
      <c r="J126" s="110"/>
    </row>
    <row r="127" spans="1:16" x14ac:dyDescent="0.2">
      <c r="B127" s="109"/>
      <c r="C127" s="7"/>
      <c r="H127" s="7"/>
      <c r="J127" s="110"/>
    </row>
    <row r="128" spans="1:16" ht="15" x14ac:dyDescent="0.2">
      <c r="B128" s="109"/>
      <c r="C128" s="133" t="s">
        <v>332</v>
      </c>
      <c r="D128" s="107"/>
      <c r="E128" s="108"/>
      <c r="G128" s="315" t="s">
        <v>852</v>
      </c>
      <c r="H128" s="314" t="s">
        <v>851</v>
      </c>
      <c r="I128" s="155">
        <f>+$E$129*E138*0.254+$E$129*$E$139*0.254</f>
        <v>20.75439252415077</v>
      </c>
      <c r="J128" s="110"/>
    </row>
    <row r="129" spans="2:10" x14ac:dyDescent="0.2">
      <c r="B129" s="109"/>
      <c r="C129" s="135" t="s">
        <v>838</v>
      </c>
      <c r="D129" s="118" t="s">
        <v>839</v>
      </c>
      <c r="E129" s="136">
        <f>EFICIENCIA!P103</f>
        <v>60</v>
      </c>
      <c r="G129" s="313" t="s">
        <v>850</v>
      </c>
      <c r="H129" s="312" t="s">
        <v>52</v>
      </c>
      <c r="I129" s="309">
        <f>+$E$137+I128*4.3224</f>
        <v>113.70878624638929</v>
      </c>
      <c r="J129" s="110"/>
    </row>
    <row r="130" spans="2:10" x14ac:dyDescent="0.2">
      <c r="B130" s="109"/>
      <c r="C130" s="135" t="s">
        <v>21</v>
      </c>
      <c r="D130" s="118" t="s">
        <v>435</v>
      </c>
      <c r="E130" s="213" t="str">
        <f>EFICIENCIA!P104</f>
        <v>&gt; 10 años</v>
      </c>
      <c r="G130" s="310" t="s">
        <v>849</v>
      </c>
      <c r="H130" s="139" t="s">
        <v>847</v>
      </c>
      <c r="I130" s="309">
        <f>+$E$132*I129</f>
        <v>47.7576902234835</v>
      </c>
      <c r="J130" s="140"/>
    </row>
    <row r="131" spans="2:10" ht="15" x14ac:dyDescent="0.2">
      <c r="B131" s="109"/>
      <c r="C131" s="134" t="s">
        <v>437</v>
      </c>
      <c r="D131" s="144"/>
      <c r="E131" s="108"/>
      <c r="F131" s="311"/>
      <c r="G131" s="310" t="s">
        <v>848</v>
      </c>
      <c r="H131" s="139" t="s">
        <v>847</v>
      </c>
      <c r="I131" s="309">
        <f>+VLOOKUP($E$130,D133:E134,2,FALSE)*$I$129</f>
        <v>113.70878624638929</v>
      </c>
      <c r="J131" s="140"/>
    </row>
    <row r="132" spans="2:10" ht="15" x14ac:dyDescent="0.2">
      <c r="B132" s="109"/>
      <c r="C132" s="145" t="s">
        <v>21</v>
      </c>
      <c r="D132" s="10" t="s">
        <v>30</v>
      </c>
      <c r="E132" s="110">
        <v>0.42</v>
      </c>
      <c r="G132" s="310" t="s">
        <v>846</v>
      </c>
      <c r="H132" s="1" t="s">
        <v>112</v>
      </c>
      <c r="I132" s="309">
        <f>+$I$130*$E$140*$E$135/1000</f>
        <v>75.827272652335935</v>
      </c>
      <c r="J132" s="140"/>
    </row>
    <row r="133" spans="2:10" ht="15" x14ac:dyDescent="0.2">
      <c r="B133" s="109"/>
      <c r="C133" s="148"/>
      <c r="D133" s="124" t="s">
        <v>23</v>
      </c>
      <c r="E133" s="110">
        <f>+(1-$E$132)/2+$E$132</f>
        <v>0.71</v>
      </c>
      <c r="G133" s="310" t="s">
        <v>846</v>
      </c>
      <c r="H133" s="1" t="s">
        <v>112</v>
      </c>
      <c r="I133" s="309">
        <f>+$I$131*$E$140*$E$135/1000</f>
        <v>180.54112536270458</v>
      </c>
      <c r="J133" s="140"/>
    </row>
    <row r="134" spans="2:10" ht="15" x14ac:dyDescent="0.2">
      <c r="B134" s="109"/>
      <c r="C134" s="149"/>
      <c r="D134" s="124" t="s">
        <v>24</v>
      </c>
      <c r="E134" s="110">
        <v>1</v>
      </c>
      <c r="G134" s="146" t="s">
        <v>373</v>
      </c>
      <c r="H134" s="1" t="s">
        <v>112</v>
      </c>
      <c r="I134" s="175">
        <f>+$I$133-I132</f>
        <v>104.71385271036864</v>
      </c>
      <c r="J134" s="140"/>
    </row>
    <row r="135" spans="2:10" ht="15" x14ac:dyDescent="0.2">
      <c r="B135" s="109"/>
      <c r="C135" s="150" t="s">
        <v>31</v>
      </c>
      <c r="D135" s="8" t="s">
        <v>37</v>
      </c>
      <c r="E135" s="110">
        <v>365</v>
      </c>
      <c r="G135" s="146" t="s">
        <v>375</v>
      </c>
      <c r="H135" s="8" t="s">
        <v>39</v>
      </c>
      <c r="I135" s="308">
        <f>+$I$132/1000*$E$136</f>
        <v>2.2391793614234802E-2</v>
      </c>
      <c r="J135" s="140"/>
    </row>
    <row r="136" spans="2:10" ht="15" x14ac:dyDescent="0.2">
      <c r="B136" s="109"/>
      <c r="C136" s="150" t="s">
        <v>34</v>
      </c>
      <c r="D136" s="8" t="s">
        <v>38</v>
      </c>
      <c r="E136" s="110">
        <v>0.29530000000000001</v>
      </c>
      <c r="G136" s="146" t="s">
        <v>40</v>
      </c>
      <c r="H136" s="8" t="s">
        <v>39</v>
      </c>
      <c r="I136" s="308">
        <f>+$I$134/1000*$E$136</f>
        <v>3.092200070537186E-2</v>
      </c>
      <c r="J136" s="140"/>
    </row>
    <row r="137" spans="2:10" x14ac:dyDescent="0.2">
      <c r="B137" s="109"/>
      <c r="C137" s="146" t="s">
        <v>845</v>
      </c>
      <c r="D137" s="1" t="s">
        <v>844</v>
      </c>
      <c r="E137" s="110">
        <v>24</v>
      </c>
      <c r="G137" s="151" t="s">
        <v>378</v>
      </c>
      <c r="H137" s="131" t="s">
        <v>44</v>
      </c>
      <c r="I137" s="14">
        <f>ROUND(+$I$136*$E$136,0)</f>
        <v>0</v>
      </c>
      <c r="J137" s="140"/>
    </row>
    <row r="138" spans="2:10" x14ac:dyDescent="0.2">
      <c r="B138" s="109"/>
      <c r="C138" s="146" t="s">
        <v>843</v>
      </c>
      <c r="D138" s="1" t="s">
        <v>841</v>
      </c>
      <c r="E138" s="147">
        <f>+COS(29.357754*PI()/180)</f>
        <v>0.87157553321236381</v>
      </c>
      <c r="G138" s="7"/>
      <c r="H138" s="8"/>
      <c r="I138" s="121"/>
      <c r="J138" s="140"/>
    </row>
    <row r="139" spans="2:10" ht="15" x14ac:dyDescent="0.2">
      <c r="B139" s="109"/>
      <c r="C139" s="146" t="s">
        <v>842</v>
      </c>
      <c r="D139" s="1" t="s">
        <v>841</v>
      </c>
      <c r="E139" s="147">
        <f>+SIN(29.357754*PI()/180)</f>
        <v>0.49026124658755538</v>
      </c>
      <c r="G139" s="318"/>
      <c r="H139" s="319" t="s">
        <v>1107</v>
      </c>
      <c r="I139" s="319" t="s">
        <v>1091</v>
      </c>
      <c r="J139" s="140"/>
    </row>
    <row r="140" spans="2:10" x14ac:dyDescent="0.2">
      <c r="B140" s="109"/>
      <c r="C140" s="146" t="s">
        <v>840</v>
      </c>
      <c r="D140" s="1" t="s">
        <v>539</v>
      </c>
      <c r="E140" s="147">
        <v>4.3499999999999996</v>
      </c>
      <c r="G140" s="320" t="s">
        <v>854</v>
      </c>
      <c r="H140" s="481">
        <f>+($E$142+$E$143)</f>
        <v>5.3313794319606658E-2</v>
      </c>
      <c r="I140" s="481">
        <v>0</v>
      </c>
      <c r="J140" s="140"/>
    </row>
    <row r="141" spans="2:10" x14ac:dyDescent="0.2">
      <c r="B141" s="109"/>
      <c r="C141" s="151" t="s">
        <v>41</v>
      </c>
      <c r="D141" s="153" t="s">
        <v>43</v>
      </c>
      <c r="E141" s="132">
        <v>16.399999999999999</v>
      </c>
      <c r="G141" s="320" t="s">
        <v>45</v>
      </c>
      <c r="H141" s="481">
        <f>+$E$142</f>
        <v>2.2391793614234802E-2</v>
      </c>
      <c r="I141" s="482">
        <f>+$I$136</f>
        <v>3.092200070537186E-2</v>
      </c>
      <c r="J141" s="140"/>
    </row>
    <row r="142" spans="2:10" ht="15" x14ac:dyDescent="0.2">
      <c r="B142" s="109"/>
      <c r="C142" s="134" t="s">
        <v>62</v>
      </c>
      <c r="D142" s="154" t="s">
        <v>45</v>
      </c>
      <c r="E142" s="155">
        <f>+I135</f>
        <v>2.2391793614234802E-2</v>
      </c>
      <c r="G142" s="7"/>
      <c r="I142" s="307"/>
      <c r="J142" s="140"/>
    </row>
    <row r="143" spans="2:10" x14ac:dyDescent="0.2">
      <c r="B143" s="109"/>
      <c r="C143" s="151"/>
      <c r="D143" s="153" t="s">
        <v>46</v>
      </c>
      <c r="E143" s="14">
        <f>+I136</f>
        <v>3.092200070537186E-2</v>
      </c>
      <c r="J143" s="140"/>
    </row>
    <row r="144" spans="2:10" x14ac:dyDescent="0.2">
      <c r="B144" s="129"/>
      <c r="C144" s="130"/>
      <c r="D144" s="131"/>
      <c r="E144" s="131"/>
      <c r="F144" s="131"/>
      <c r="G144" s="157"/>
      <c r="H144" s="157"/>
      <c r="I144" s="158"/>
      <c r="J144" s="159"/>
    </row>
    <row r="145" spans="1:1" x14ac:dyDescent="0.2"/>
    <row r="146" spans="1:1" ht="127.5" customHeight="1" x14ac:dyDescent="0.2">
      <c r="A146" s="1" t="str">
        <f>+C72</f>
        <v>Vapor de sodio</v>
      </c>
    </row>
    <row r="147" spans="1:1" ht="127.5" customHeight="1" x14ac:dyDescent="0.2">
      <c r="A147" s="1" t="str">
        <f t="shared" ref="A147:A149" si="9">+C73</f>
        <v>Halógeno</v>
      </c>
    </row>
    <row r="148" spans="1:1" ht="127.5" customHeight="1" x14ac:dyDescent="0.2">
      <c r="A148" s="1" t="str">
        <f t="shared" si="9"/>
        <v>Fluorescente</v>
      </c>
    </row>
    <row r="149" spans="1:1" ht="127.5" customHeight="1" x14ac:dyDescent="0.2">
      <c r="A149" s="1" t="str">
        <f t="shared" si="9"/>
        <v>Incandescente</v>
      </c>
    </row>
  </sheetData>
  <mergeCells count="14">
    <mergeCell ref="M114:N114"/>
    <mergeCell ref="O114:P114"/>
    <mergeCell ref="B12:B14"/>
    <mergeCell ref="B48:B50"/>
    <mergeCell ref="B51:B53"/>
    <mergeCell ref="B72:B75"/>
    <mergeCell ref="B90:B92"/>
    <mergeCell ref="K114:L114"/>
    <mergeCell ref="AT2:AV2"/>
    <mergeCell ref="V2:Y2"/>
    <mergeCell ref="Z2:AC2"/>
    <mergeCell ref="AF2:AH2"/>
    <mergeCell ref="AJ2:AL2"/>
    <mergeCell ref="AP2:AR2"/>
  </mergeCells>
  <hyperlinks>
    <hyperlink ref="G84" r:id="rId1" display="https://www.fiec.espol.edu.ec/es/fiecriteria-n-2-las-cocinas-de-induccion" xr:uid="{1EAD6809-2077-4E4C-86DB-9A7CF8C1A180}"/>
  </hyperlinks>
  <pageMargins left="0.7" right="0.7" top="0.75" bottom="0.75" header="0.3" footer="0.3"/>
  <pageSetup orientation="portrait" horizontalDpi="300" verticalDpi="300" r:id="rId2"/>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889CA-462D-4878-BD56-8E0C43B92CD3}">
  <sheetPr>
    <tabColor theme="3" tint="-0.249977111117893"/>
  </sheetPr>
  <dimension ref="A1:Q292"/>
  <sheetViews>
    <sheetView topLeftCell="E67" zoomScale="110" zoomScaleNormal="110" workbookViewId="0">
      <selection activeCell="Q172" sqref="Q172"/>
    </sheetView>
  </sheetViews>
  <sheetFormatPr baseColWidth="10" defaultColWidth="0" defaultRowHeight="14.25" zeroHeight="1" x14ac:dyDescent="0.2"/>
  <cols>
    <col min="1" max="1" width="2.625" customWidth="1"/>
    <col min="2" max="5" width="11" customWidth="1"/>
    <col min="6" max="6" width="3.625" customWidth="1"/>
    <col min="7" max="7" width="11" customWidth="1"/>
    <col min="8" max="8" width="2.625" customWidth="1"/>
    <col min="9" max="10" width="11" customWidth="1"/>
    <col min="11" max="12" width="2.625" customWidth="1"/>
    <col min="13" max="13" width="11" customWidth="1"/>
    <col min="14" max="14" width="2.625" customWidth="1"/>
    <col min="15" max="17" width="11" customWidth="1"/>
    <col min="18" max="16384" width="11" hidden="1"/>
  </cols>
  <sheetData>
    <row r="1" spans="1:17" x14ac:dyDescent="0.2">
      <c r="A1" s="2"/>
      <c r="B1" s="2"/>
      <c r="C1" s="3"/>
      <c r="D1" s="4"/>
      <c r="E1" s="4"/>
      <c r="F1" s="4"/>
      <c r="G1" s="4"/>
      <c r="H1" s="4"/>
      <c r="I1" s="4"/>
      <c r="J1" s="4"/>
      <c r="K1" s="4"/>
      <c r="L1" s="4"/>
      <c r="M1" s="4"/>
      <c r="N1" s="4"/>
      <c r="O1" s="4"/>
      <c r="P1" s="4"/>
      <c r="Q1" s="4"/>
    </row>
    <row r="2" spans="1:17" x14ac:dyDescent="0.2">
      <c r="A2" s="2"/>
      <c r="B2" s="2"/>
      <c r="C2" s="3"/>
      <c r="D2" s="4"/>
      <c r="E2" s="4"/>
      <c r="F2" s="4"/>
      <c r="G2" s="4"/>
      <c r="H2" s="4"/>
      <c r="I2" s="4"/>
      <c r="J2" s="4"/>
      <c r="K2" s="4"/>
      <c r="L2" s="4"/>
      <c r="M2" s="4"/>
      <c r="N2" s="4"/>
      <c r="O2" s="4"/>
      <c r="P2" s="4"/>
      <c r="Q2" s="4"/>
    </row>
    <row r="3" spans="1:17" x14ac:dyDescent="0.2">
      <c r="A3" s="2"/>
      <c r="B3" s="2"/>
      <c r="C3" s="649"/>
      <c r="D3" s="649"/>
      <c r="E3" s="649"/>
      <c r="F3" s="649"/>
      <c r="G3" s="649"/>
      <c r="H3" s="649"/>
      <c r="I3" s="649"/>
      <c r="J3" s="649"/>
      <c r="K3" s="649"/>
      <c r="L3" s="649"/>
      <c r="M3" s="4"/>
      <c r="N3" s="4"/>
      <c r="O3" s="4"/>
      <c r="P3" s="4"/>
      <c r="Q3" s="4"/>
    </row>
    <row r="4" spans="1:17" x14ac:dyDescent="0.2">
      <c r="A4" s="2"/>
      <c r="B4" s="2"/>
      <c r="C4" s="5"/>
      <c r="D4" s="5"/>
      <c r="E4" s="5"/>
      <c r="F4" s="5"/>
      <c r="G4" s="5"/>
      <c r="H4" s="5"/>
      <c r="I4" s="5"/>
      <c r="J4" s="5"/>
      <c r="K4" s="18"/>
      <c r="L4" s="18"/>
      <c r="M4" s="4"/>
      <c r="N4" s="4"/>
      <c r="O4" s="4"/>
      <c r="P4" s="4"/>
      <c r="Q4" s="4"/>
    </row>
    <row r="5" spans="1:17" x14ac:dyDescent="0.2">
      <c r="A5" s="2"/>
      <c r="B5" s="2"/>
      <c r="C5" s="5"/>
      <c r="D5" s="5"/>
      <c r="E5" s="5"/>
      <c r="F5" s="227"/>
      <c r="G5" s="338" t="s">
        <v>528</v>
      </c>
      <c r="H5" s="5"/>
      <c r="I5" s="5"/>
      <c r="J5" s="5"/>
      <c r="K5" s="18"/>
      <c r="L5" s="18"/>
      <c r="M5" s="4"/>
      <c r="N5" s="4"/>
      <c r="O5" s="4"/>
      <c r="P5" s="4"/>
      <c r="Q5" s="4"/>
    </row>
    <row r="6" spans="1:17" x14ac:dyDescent="0.2">
      <c r="A6" s="2"/>
      <c r="B6" s="2"/>
      <c r="C6" s="5"/>
      <c r="D6" s="5"/>
      <c r="E6" s="5"/>
      <c r="F6" s="227"/>
      <c r="G6" s="338" t="s">
        <v>529</v>
      </c>
      <c r="H6" s="5"/>
      <c r="I6" s="5"/>
      <c r="J6" s="5"/>
      <c r="K6" s="18"/>
      <c r="L6" s="18"/>
      <c r="M6" s="4"/>
      <c r="N6" s="4"/>
      <c r="O6" s="4"/>
      <c r="P6" s="4"/>
      <c r="Q6" s="4"/>
    </row>
    <row r="7" spans="1:17" x14ac:dyDescent="0.2">
      <c r="A7" s="2"/>
      <c r="B7" s="2"/>
      <c r="C7" s="5"/>
      <c r="D7" s="5"/>
      <c r="E7" s="5"/>
      <c r="F7" s="227"/>
      <c r="G7" s="338" t="s">
        <v>530</v>
      </c>
      <c r="H7" s="5"/>
      <c r="I7" s="5"/>
      <c r="J7" s="5"/>
      <c r="K7" s="18"/>
      <c r="L7" s="18"/>
      <c r="M7" s="4"/>
      <c r="N7" s="4"/>
      <c r="O7" s="4"/>
      <c r="P7" s="4"/>
      <c r="Q7" s="4"/>
    </row>
    <row r="8" spans="1:17" x14ac:dyDescent="0.2">
      <c r="A8" s="2"/>
      <c r="B8" s="2"/>
      <c r="C8" s="5"/>
      <c r="D8" s="5"/>
      <c r="E8" s="5"/>
      <c r="F8" s="227"/>
      <c r="G8" s="338" t="s">
        <v>531</v>
      </c>
      <c r="H8" s="5"/>
      <c r="I8" s="5"/>
      <c r="J8" s="5"/>
      <c r="K8" s="18"/>
      <c r="L8" s="18"/>
      <c r="M8" s="4"/>
      <c r="N8" s="4"/>
      <c r="O8" s="4"/>
      <c r="P8" s="4"/>
      <c r="Q8" s="4"/>
    </row>
    <row r="9" spans="1:17" x14ac:dyDescent="0.2">
      <c r="A9" s="2"/>
      <c r="B9" s="2"/>
      <c r="C9" s="5"/>
      <c r="D9" s="5"/>
      <c r="E9" s="5"/>
      <c r="F9" s="227"/>
      <c r="G9" s="338" t="s">
        <v>533</v>
      </c>
      <c r="H9" s="5"/>
      <c r="I9" s="5"/>
      <c r="J9" s="5"/>
      <c r="K9" s="18"/>
      <c r="L9" s="18"/>
      <c r="M9" s="4"/>
      <c r="N9" s="4"/>
      <c r="O9" s="4"/>
      <c r="P9" s="4"/>
      <c r="Q9" s="4"/>
    </row>
    <row r="10" spans="1:17" x14ac:dyDescent="0.2">
      <c r="A10" s="2"/>
      <c r="B10" s="2"/>
      <c r="C10" s="5"/>
      <c r="D10" s="5"/>
      <c r="E10" s="5"/>
      <c r="F10" s="227"/>
      <c r="G10" s="338" t="s">
        <v>532</v>
      </c>
      <c r="H10" s="5"/>
      <c r="I10" s="5"/>
      <c r="J10" s="5"/>
      <c r="K10" s="18"/>
      <c r="L10" s="18"/>
      <c r="M10" s="4"/>
      <c r="N10" s="4"/>
      <c r="O10" s="4"/>
      <c r="P10" s="4"/>
      <c r="Q10" s="4"/>
    </row>
    <row r="11" spans="1:17" x14ac:dyDescent="0.2">
      <c r="A11" s="2"/>
      <c r="B11" s="2"/>
      <c r="C11" s="5"/>
      <c r="D11" s="5"/>
      <c r="E11" s="5"/>
      <c r="F11" s="227"/>
      <c r="G11" s="338" t="s">
        <v>621</v>
      </c>
      <c r="H11" s="5"/>
      <c r="I11" s="5"/>
      <c r="J11" s="5"/>
      <c r="K11" s="18"/>
      <c r="L11" s="18"/>
      <c r="M11" s="4"/>
      <c r="N11" s="4"/>
      <c r="O11" s="4"/>
      <c r="P11" s="4"/>
      <c r="Q11" s="4"/>
    </row>
    <row r="12" spans="1:17" x14ac:dyDescent="0.2">
      <c r="A12" s="2"/>
      <c r="B12" s="2"/>
      <c r="C12" s="5"/>
      <c r="D12" s="5"/>
      <c r="E12" s="5"/>
      <c r="F12" s="227"/>
      <c r="G12" s="338" t="s">
        <v>622</v>
      </c>
      <c r="H12" s="5"/>
      <c r="I12" s="5"/>
      <c r="J12" s="5"/>
      <c r="K12" s="18"/>
      <c r="L12" s="18"/>
      <c r="M12" s="4"/>
      <c r="N12" s="4"/>
      <c r="O12" s="4"/>
      <c r="P12" s="4"/>
      <c r="Q12" s="4"/>
    </row>
    <row r="13" spans="1:17" x14ac:dyDescent="0.2">
      <c r="A13" s="2"/>
      <c r="B13" s="2"/>
      <c r="C13" s="5"/>
      <c r="D13" s="5"/>
      <c r="E13" s="5"/>
      <c r="F13" s="227"/>
      <c r="G13" s="338" t="s">
        <v>623</v>
      </c>
      <c r="H13" s="5"/>
      <c r="I13" s="5"/>
      <c r="J13" s="5"/>
      <c r="K13" s="18"/>
      <c r="L13" s="18"/>
      <c r="M13" s="4"/>
      <c r="N13" s="4"/>
      <c r="O13" s="4"/>
      <c r="P13" s="4"/>
      <c r="Q13" s="4"/>
    </row>
    <row r="14" spans="1:17" x14ac:dyDescent="0.2">
      <c r="A14" s="2"/>
      <c r="B14" s="2"/>
      <c r="C14" s="5"/>
      <c r="D14" s="5"/>
      <c r="E14" s="5"/>
      <c r="F14" s="227"/>
      <c r="G14" s="338" t="s">
        <v>624</v>
      </c>
      <c r="H14" s="5"/>
      <c r="I14" s="5"/>
      <c r="J14" s="5"/>
      <c r="K14" s="18"/>
      <c r="L14" s="18"/>
      <c r="M14" s="4"/>
      <c r="N14" s="4"/>
      <c r="O14" s="4"/>
      <c r="P14" s="4"/>
      <c r="Q14" s="4"/>
    </row>
    <row r="15" spans="1:17" x14ac:dyDescent="0.2">
      <c r="A15" s="2"/>
      <c r="B15" s="2"/>
      <c r="C15" s="5"/>
      <c r="D15" s="5"/>
      <c r="E15" s="5"/>
      <c r="F15" s="227"/>
      <c r="G15" s="338" t="s">
        <v>1105</v>
      </c>
      <c r="H15" s="5"/>
      <c r="I15" s="5"/>
      <c r="J15" s="5"/>
      <c r="K15" s="18"/>
      <c r="L15" s="18"/>
      <c r="M15" s="4"/>
      <c r="N15" s="4"/>
      <c r="O15" s="4"/>
      <c r="P15" s="4"/>
      <c r="Q15" s="4"/>
    </row>
    <row r="16" spans="1:17" x14ac:dyDescent="0.2">
      <c r="A16" s="2"/>
      <c r="B16" s="2"/>
      <c r="C16" s="5"/>
      <c r="D16" s="5"/>
      <c r="E16" s="5"/>
      <c r="F16" s="5"/>
      <c r="G16" s="5"/>
      <c r="H16" s="5"/>
      <c r="I16" s="5"/>
      <c r="J16" s="5"/>
      <c r="K16" s="18"/>
      <c r="L16" s="18"/>
      <c r="M16" s="4"/>
      <c r="N16" s="4"/>
      <c r="O16" s="4"/>
      <c r="P16" s="4"/>
      <c r="Q16" s="4"/>
    </row>
    <row r="17" spans="1:17" x14ac:dyDescent="0.2">
      <c r="A17" s="2"/>
      <c r="B17" s="2"/>
      <c r="C17" s="3"/>
      <c r="D17" s="4"/>
      <c r="E17" s="4"/>
      <c r="F17" s="4"/>
      <c r="G17" s="4"/>
      <c r="H17" s="4"/>
      <c r="I17" s="4"/>
      <c r="J17" s="4"/>
      <c r="K17" s="4"/>
      <c r="L17" s="4"/>
      <c r="M17" s="4"/>
      <c r="N17" s="4"/>
      <c r="O17" s="4"/>
      <c r="P17" s="4"/>
      <c r="Q17" s="4"/>
    </row>
    <row r="18" spans="1:17" ht="20.100000000000001" customHeight="1" x14ac:dyDescent="0.2">
      <c r="A18" s="2"/>
      <c r="B18" s="2"/>
      <c r="C18" s="3"/>
      <c r="D18" s="4"/>
      <c r="E18" s="647" t="s">
        <v>535</v>
      </c>
      <c r="F18" s="642" t="s">
        <v>2</v>
      </c>
      <c r="G18" s="642"/>
      <c r="H18" s="642"/>
      <c r="I18" s="642"/>
      <c r="J18" s="648" t="s">
        <v>536</v>
      </c>
      <c r="K18" s="648"/>
      <c r="L18" s="648"/>
      <c r="M18" s="648"/>
      <c r="N18" s="648"/>
      <c r="O18" s="648"/>
      <c r="P18" s="648"/>
      <c r="Q18" s="4"/>
    </row>
    <row r="19" spans="1:17" ht="20.100000000000001" customHeight="1" x14ac:dyDescent="0.2">
      <c r="A19" s="2"/>
      <c r="B19" s="2"/>
      <c r="C19" s="3"/>
      <c r="D19" s="4"/>
      <c r="E19" s="647"/>
      <c r="F19" s="642" t="s">
        <v>3</v>
      </c>
      <c r="G19" s="642"/>
      <c r="H19" s="642"/>
      <c r="I19" s="642"/>
      <c r="J19" s="648" t="s">
        <v>1083</v>
      </c>
      <c r="K19" s="648"/>
      <c r="L19" s="648"/>
      <c r="M19" s="648"/>
      <c r="N19" s="648"/>
      <c r="O19" s="648"/>
      <c r="P19" s="648"/>
      <c r="Q19" s="4"/>
    </row>
    <row r="20" spans="1:17" ht="60" customHeight="1" x14ac:dyDescent="0.2">
      <c r="A20" s="2"/>
      <c r="B20" s="2"/>
      <c r="C20" s="3"/>
      <c r="D20" s="4"/>
      <c r="E20" s="4"/>
      <c r="F20" s="642" t="s">
        <v>50</v>
      </c>
      <c r="G20" s="642"/>
      <c r="H20" s="642"/>
      <c r="I20" s="642"/>
      <c r="J20" s="643" t="s">
        <v>792</v>
      </c>
      <c r="K20" s="644"/>
      <c r="L20" s="644"/>
      <c r="M20" s="644"/>
      <c r="N20" s="644"/>
      <c r="O20" s="644"/>
      <c r="P20" s="644"/>
      <c r="Q20" s="4"/>
    </row>
    <row r="21" spans="1:17" x14ac:dyDescent="0.2">
      <c r="A21" s="2"/>
      <c r="B21" s="2"/>
      <c r="C21" s="3"/>
      <c r="D21" s="4"/>
      <c r="E21" s="4"/>
      <c r="F21" s="4"/>
      <c r="G21" s="4"/>
      <c r="H21" s="4"/>
      <c r="I21" s="4"/>
      <c r="J21" s="4"/>
      <c r="K21" s="4"/>
      <c r="L21" s="4"/>
      <c r="M21" s="4"/>
      <c r="N21" s="4"/>
      <c r="O21" s="4"/>
      <c r="P21" s="4"/>
      <c r="Q21" s="4"/>
    </row>
    <row r="22" spans="1:17" ht="15" x14ac:dyDescent="0.2">
      <c r="A22" s="2"/>
      <c r="B22" s="2"/>
      <c r="C22" s="3"/>
      <c r="D22" s="4"/>
      <c r="E22" s="4"/>
      <c r="F22" s="640" t="s">
        <v>20</v>
      </c>
      <c r="G22" s="640"/>
      <c r="H22" s="640"/>
      <c r="I22" s="640"/>
      <c r="J22" s="640"/>
      <c r="K22" s="640"/>
      <c r="L22" s="640"/>
      <c r="M22" s="640"/>
      <c r="N22" s="640"/>
      <c r="O22" s="640"/>
      <c r="P22" s="640"/>
      <c r="Q22" s="4"/>
    </row>
    <row r="23" spans="1:17" ht="9.9499999999999993" customHeight="1" x14ac:dyDescent="0.2">
      <c r="A23" s="2"/>
      <c r="B23" s="2"/>
      <c r="C23" s="3"/>
      <c r="D23" s="4"/>
      <c r="E23" s="4"/>
      <c r="F23" s="4"/>
      <c r="G23" s="4"/>
      <c r="H23" s="4"/>
      <c r="I23" s="4"/>
      <c r="J23" s="4"/>
      <c r="K23" s="4"/>
      <c r="L23" s="4"/>
      <c r="M23" s="4"/>
      <c r="N23" s="4"/>
      <c r="O23" s="4"/>
      <c r="P23" s="4"/>
      <c r="Q23" s="4"/>
    </row>
    <row r="24" spans="1:17" x14ac:dyDescent="0.2">
      <c r="A24" s="2"/>
      <c r="B24" s="2"/>
      <c r="C24" s="3"/>
      <c r="D24" s="4"/>
      <c r="E24" s="4"/>
      <c r="F24" s="17" t="s">
        <v>972</v>
      </c>
      <c r="G24" s="4"/>
      <c r="H24" s="4"/>
      <c r="I24" s="4"/>
      <c r="J24" s="4"/>
      <c r="K24" s="4"/>
      <c r="L24" s="4"/>
      <c r="M24" s="4"/>
      <c r="N24" s="4"/>
      <c r="O24" s="532">
        <v>58</v>
      </c>
      <c r="P24" s="324" t="s">
        <v>327</v>
      </c>
      <c r="Q24" s="4"/>
    </row>
    <row r="25" spans="1:17" x14ac:dyDescent="0.2">
      <c r="A25" s="2"/>
      <c r="B25" s="2"/>
      <c r="C25" s="3"/>
      <c r="D25" s="4"/>
      <c r="E25" s="4"/>
      <c r="F25" s="17" t="s">
        <v>989</v>
      </c>
      <c r="G25" s="4"/>
      <c r="H25" s="4"/>
      <c r="I25" s="4"/>
      <c r="J25" s="4"/>
      <c r="K25" s="4"/>
      <c r="L25" s="4"/>
      <c r="M25" s="4"/>
      <c r="N25" s="4"/>
      <c r="O25" s="532">
        <v>15</v>
      </c>
      <c r="P25" s="324" t="s">
        <v>990</v>
      </c>
      <c r="Q25" s="4"/>
    </row>
    <row r="26" spans="1:17" x14ac:dyDescent="0.2">
      <c r="A26" s="2"/>
      <c r="B26" s="2"/>
      <c r="C26" s="3"/>
      <c r="D26" s="4"/>
      <c r="E26" s="4"/>
      <c r="F26" s="17" t="s">
        <v>991</v>
      </c>
      <c r="G26" s="4"/>
      <c r="H26" s="4"/>
      <c r="I26" s="4"/>
      <c r="J26" s="4"/>
      <c r="K26" s="4"/>
      <c r="L26" s="4"/>
      <c r="M26" s="4"/>
      <c r="N26" s="4"/>
      <c r="O26" s="532">
        <v>8</v>
      </c>
      <c r="P26" s="324" t="s">
        <v>29</v>
      </c>
      <c r="Q26" s="4"/>
    </row>
    <row r="27" spans="1:17" x14ac:dyDescent="0.2">
      <c r="A27" s="2"/>
      <c r="B27" s="2"/>
      <c r="C27" s="3"/>
      <c r="D27" s="4"/>
      <c r="E27" s="4"/>
      <c r="F27" s="4"/>
      <c r="G27" s="4"/>
      <c r="H27" s="4"/>
      <c r="I27" s="4"/>
      <c r="J27" s="4"/>
      <c r="K27" s="4"/>
      <c r="L27" s="4"/>
      <c r="M27" s="4"/>
      <c r="N27" s="4"/>
      <c r="O27" s="4"/>
      <c r="P27" s="4"/>
      <c r="Q27" s="4"/>
    </row>
    <row r="28" spans="1:17" ht="15" x14ac:dyDescent="0.2">
      <c r="A28" s="2"/>
      <c r="B28" s="2"/>
      <c r="C28" s="3"/>
      <c r="D28" s="4"/>
      <c r="E28" s="4"/>
      <c r="F28" s="640" t="s">
        <v>36</v>
      </c>
      <c r="G28" s="640"/>
      <c r="H28" s="640"/>
      <c r="I28" s="640"/>
      <c r="J28" s="640"/>
      <c r="K28" s="640"/>
      <c r="L28" s="640"/>
      <c r="M28" s="640"/>
      <c r="N28" s="640"/>
      <c r="O28" s="640"/>
      <c r="P28" s="640"/>
      <c r="Q28" s="4"/>
    </row>
    <row r="29" spans="1:17" ht="9.9499999999999993" customHeight="1" x14ac:dyDescent="0.2">
      <c r="A29" s="2"/>
      <c r="B29" s="2"/>
      <c r="C29" s="3"/>
      <c r="D29" s="4"/>
      <c r="E29" s="4"/>
      <c r="F29" s="4"/>
      <c r="G29" s="4"/>
      <c r="H29" s="4"/>
      <c r="I29" s="4"/>
      <c r="J29" s="4"/>
      <c r="K29" s="4"/>
      <c r="L29" s="4"/>
      <c r="M29" s="4"/>
      <c r="N29" s="4"/>
      <c r="O29" s="4"/>
      <c r="P29" s="4"/>
      <c r="Q29" s="4"/>
    </row>
    <row r="30" spans="1:17" x14ac:dyDescent="0.2">
      <c r="A30" s="2"/>
      <c r="B30" s="2"/>
      <c r="C30" s="3"/>
      <c r="D30" s="4"/>
      <c r="E30" s="4"/>
      <c r="F30" s="17" t="s">
        <v>40</v>
      </c>
      <c r="G30" s="17"/>
      <c r="H30" s="17"/>
      <c r="I30" s="19">
        <f>Datos_energia!H39</f>
        <v>750.18011999999999</v>
      </c>
      <c r="J30" s="324" t="s">
        <v>39</v>
      </c>
      <c r="K30" s="4"/>
      <c r="L30" s="4"/>
      <c r="M30" s="4"/>
      <c r="N30" s="4"/>
      <c r="O30" s="4"/>
      <c r="P30" s="4"/>
      <c r="Q30" s="4"/>
    </row>
    <row r="31" spans="1:17" ht="15" thickBot="1" x14ac:dyDescent="0.25">
      <c r="A31" s="2"/>
      <c r="B31" s="2"/>
      <c r="C31" s="3"/>
      <c r="D31" s="4"/>
      <c r="E31" s="4"/>
      <c r="F31" s="4"/>
      <c r="G31" s="4"/>
      <c r="H31" s="4"/>
      <c r="I31" s="4"/>
      <c r="J31" s="4"/>
      <c r="K31" s="4"/>
      <c r="L31" s="4"/>
      <c r="M31" s="4"/>
      <c r="N31" s="4"/>
      <c r="O31" s="4"/>
      <c r="P31" s="4"/>
      <c r="Q31" s="4"/>
    </row>
    <row r="32" spans="1:17" x14ac:dyDescent="0.2">
      <c r="A32" s="2"/>
      <c r="B32" s="2"/>
      <c r="C32" s="3"/>
      <c r="D32" s="4"/>
      <c r="E32" s="4"/>
      <c r="F32" s="418"/>
      <c r="G32" s="419"/>
      <c r="H32" s="419"/>
      <c r="I32" s="419"/>
      <c r="J32" s="420"/>
      <c r="K32" s="4"/>
      <c r="L32" s="4"/>
      <c r="M32" s="4"/>
      <c r="N32" s="4"/>
      <c r="O32" s="4"/>
      <c r="P32" s="4"/>
      <c r="Q32" s="4"/>
    </row>
    <row r="33" spans="1:17" x14ac:dyDescent="0.2">
      <c r="A33" s="2"/>
      <c r="B33" s="2"/>
      <c r="C33" s="3"/>
      <c r="D33" s="4"/>
      <c r="E33" s="4"/>
      <c r="F33" s="421"/>
      <c r="G33" s="415"/>
      <c r="H33" s="415"/>
      <c r="I33" s="560" t="s">
        <v>689</v>
      </c>
      <c r="J33" s="638"/>
      <c r="K33" s="4"/>
      <c r="L33" s="4"/>
      <c r="M33" s="4"/>
      <c r="N33" s="4"/>
      <c r="O33" s="4"/>
      <c r="P33" s="4"/>
      <c r="Q33" s="4"/>
    </row>
    <row r="34" spans="1:17" x14ac:dyDescent="0.2">
      <c r="A34" s="2"/>
      <c r="B34" s="2"/>
      <c r="C34" s="3"/>
      <c r="D34" s="4"/>
      <c r="E34" s="4"/>
      <c r="F34" s="421"/>
      <c r="G34" s="415"/>
      <c r="H34" s="415"/>
      <c r="I34" s="560"/>
      <c r="J34" s="638"/>
      <c r="K34" s="4"/>
      <c r="L34" s="4"/>
      <c r="M34" s="4"/>
      <c r="N34" s="4"/>
      <c r="O34" s="4"/>
      <c r="P34" s="4"/>
      <c r="Q34" s="4"/>
    </row>
    <row r="35" spans="1:17" x14ac:dyDescent="0.2">
      <c r="A35" s="2"/>
      <c r="B35" s="2"/>
      <c r="C35" s="3"/>
      <c r="D35" s="4"/>
      <c r="E35" s="4"/>
      <c r="F35" s="421"/>
      <c r="G35" s="415"/>
      <c r="H35" s="415"/>
      <c r="I35" s="417"/>
      <c r="J35" s="422"/>
      <c r="K35" s="4"/>
      <c r="L35" s="4"/>
      <c r="M35" s="4"/>
      <c r="N35" s="4"/>
      <c r="O35" s="4"/>
      <c r="P35" s="4"/>
      <c r="Q35" s="4"/>
    </row>
    <row r="36" spans="1:17" ht="14.25" customHeight="1" x14ac:dyDescent="0.2">
      <c r="A36" s="2"/>
      <c r="B36" s="2"/>
      <c r="C36" s="3"/>
      <c r="D36" s="4"/>
      <c r="E36" s="4"/>
      <c r="F36" s="421"/>
      <c r="G36" s="415"/>
      <c r="H36" s="415"/>
      <c r="I36" s="641">
        <f>ROUND(16.4*$I$30,0)</f>
        <v>12303</v>
      </c>
      <c r="J36" s="639" t="s">
        <v>690</v>
      </c>
      <c r="K36" s="4"/>
      <c r="L36" s="4"/>
      <c r="M36" s="4"/>
      <c r="N36" s="4"/>
      <c r="O36" s="4"/>
      <c r="P36" s="4"/>
      <c r="Q36" s="4"/>
    </row>
    <row r="37" spans="1:17" x14ac:dyDescent="0.2">
      <c r="A37" s="2"/>
      <c r="B37" s="2"/>
      <c r="C37" s="3"/>
      <c r="D37" s="4"/>
      <c r="E37" s="4"/>
      <c r="F37" s="421"/>
      <c r="G37" s="415"/>
      <c r="H37" s="415"/>
      <c r="I37" s="641"/>
      <c r="J37" s="639"/>
      <c r="K37" s="4"/>
      <c r="L37" s="4"/>
      <c r="M37" s="4"/>
      <c r="N37" s="4"/>
      <c r="O37" s="4"/>
      <c r="P37" s="4"/>
      <c r="Q37" s="4"/>
    </row>
    <row r="38" spans="1:17" ht="15" thickBot="1" x14ac:dyDescent="0.25">
      <c r="A38" s="2"/>
      <c r="B38" s="2"/>
      <c r="C38" s="3"/>
      <c r="D38" s="4"/>
      <c r="E38" s="4"/>
      <c r="F38" s="423"/>
      <c r="G38" s="424"/>
      <c r="H38" s="424"/>
      <c r="I38" s="424"/>
      <c r="J38" s="425"/>
      <c r="K38" s="4"/>
      <c r="L38" s="4"/>
      <c r="M38" s="4"/>
      <c r="N38" s="4"/>
      <c r="O38" s="4"/>
      <c r="P38" s="4"/>
      <c r="Q38" s="4"/>
    </row>
    <row r="39" spans="1:17" x14ac:dyDescent="0.2">
      <c r="A39" s="2"/>
      <c r="B39" s="2"/>
      <c r="C39" s="3"/>
      <c r="D39" s="4"/>
      <c r="E39" s="4"/>
      <c r="F39" s="4"/>
      <c r="G39" s="4"/>
      <c r="H39" s="4"/>
      <c r="I39" s="4"/>
      <c r="J39" s="4"/>
      <c r="K39" s="4"/>
      <c r="L39" s="4"/>
      <c r="M39" s="4"/>
      <c r="N39" s="4"/>
      <c r="O39" s="4"/>
      <c r="P39" s="4"/>
      <c r="Q39" s="4"/>
    </row>
    <row r="40" spans="1:17" ht="30" customHeight="1" x14ac:dyDescent="0.2">
      <c r="A40" s="2"/>
      <c r="B40" s="2"/>
      <c r="C40" s="3"/>
      <c r="D40" s="4"/>
      <c r="E40" s="4"/>
      <c r="F40" s="636" t="s">
        <v>1102</v>
      </c>
      <c r="G40" s="636"/>
      <c r="H40" s="636"/>
      <c r="I40" s="636"/>
      <c r="J40" s="636"/>
      <c r="K40" s="636"/>
      <c r="L40" s="636"/>
      <c r="M40" s="636"/>
      <c r="N40" s="636"/>
      <c r="O40" s="636"/>
      <c r="P40" s="636"/>
      <c r="Q40" s="4"/>
    </row>
    <row r="41" spans="1:17" x14ac:dyDescent="0.2">
      <c r="A41" s="2"/>
      <c r="B41" s="2"/>
      <c r="C41" s="3"/>
      <c r="D41" s="4"/>
      <c r="E41" s="4"/>
      <c r="F41" s="4"/>
      <c r="G41" s="4"/>
      <c r="H41" s="4"/>
      <c r="I41" s="4"/>
      <c r="J41" s="4"/>
      <c r="K41" s="4"/>
      <c r="L41" s="4"/>
      <c r="M41" s="4"/>
      <c r="N41" s="4"/>
      <c r="O41" s="4"/>
      <c r="P41" s="4"/>
      <c r="Q41" s="4"/>
    </row>
    <row r="42" spans="1:17" x14ac:dyDescent="0.2">
      <c r="A42" s="2"/>
      <c r="B42" s="2"/>
      <c r="C42" s="3"/>
      <c r="D42" s="4"/>
      <c r="E42" s="4"/>
      <c r="F42" s="4"/>
      <c r="G42" s="4"/>
      <c r="H42" s="4"/>
      <c r="I42" s="4"/>
      <c r="J42" s="4"/>
      <c r="K42" s="4"/>
      <c r="L42" s="4"/>
      <c r="M42" s="4"/>
      <c r="N42" s="4"/>
      <c r="O42" s="4"/>
      <c r="P42" s="4"/>
      <c r="Q42" s="4"/>
    </row>
    <row r="43" spans="1:17" ht="20.100000000000001" customHeight="1" x14ac:dyDescent="0.2">
      <c r="A43" s="2"/>
      <c r="B43" s="2"/>
      <c r="C43" s="3"/>
      <c r="D43" s="4"/>
      <c r="E43" s="647" t="s">
        <v>579</v>
      </c>
      <c r="F43" s="642" t="s">
        <v>2</v>
      </c>
      <c r="G43" s="642"/>
      <c r="H43" s="642"/>
      <c r="I43" s="642"/>
      <c r="J43" s="648" t="s">
        <v>578</v>
      </c>
      <c r="K43" s="648"/>
      <c r="L43" s="648"/>
      <c r="M43" s="648"/>
      <c r="N43" s="648"/>
      <c r="O43" s="648"/>
      <c r="P43" s="648"/>
      <c r="Q43" s="4"/>
    </row>
    <row r="44" spans="1:17" ht="20.100000000000001" customHeight="1" x14ac:dyDescent="0.2">
      <c r="A44" s="2"/>
      <c r="B44" s="2"/>
      <c r="C44" s="3"/>
      <c r="D44" s="4"/>
      <c r="E44" s="647"/>
      <c r="F44" s="642" t="s">
        <v>3</v>
      </c>
      <c r="G44" s="642"/>
      <c r="H44" s="642"/>
      <c r="I44" s="642"/>
      <c r="J44" s="648" t="s">
        <v>1083</v>
      </c>
      <c r="K44" s="648"/>
      <c r="L44" s="648"/>
      <c r="M44" s="648"/>
      <c r="N44" s="648"/>
      <c r="O44" s="648"/>
      <c r="P44" s="648"/>
      <c r="Q44" s="4"/>
    </row>
    <row r="45" spans="1:17" ht="60" customHeight="1" x14ac:dyDescent="0.2">
      <c r="A45" s="2"/>
      <c r="B45" s="2"/>
      <c r="C45" s="3"/>
      <c r="D45" s="4"/>
      <c r="E45" s="4"/>
      <c r="F45" s="642" t="s">
        <v>50</v>
      </c>
      <c r="G45" s="642"/>
      <c r="H45" s="642"/>
      <c r="I45" s="642"/>
      <c r="J45" s="643" t="s">
        <v>793</v>
      </c>
      <c r="K45" s="644"/>
      <c r="L45" s="644"/>
      <c r="M45" s="644"/>
      <c r="N45" s="644"/>
      <c r="O45" s="644"/>
      <c r="P45" s="644"/>
      <c r="Q45" s="4"/>
    </row>
    <row r="46" spans="1:17" x14ac:dyDescent="0.2">
      <c r="A46" s="2"/>
      <c r="B46" s="2"/>
      <c r="C46" s="3"/>
      <c r="D46" s="4"/>
      <c r="E46" s="4"/>
      <c r="F46" s="4"/>
      <c r="G46" s="4"/>
      <c r="H46" s="4"/>
      <c r="I46" s="4"/>
      <c r="J46" s="4"/>
      <c r="K46" s="4"/>
      <c r="L46" s="4"/>
      <c r="M46" s="4"/>
      <c r="N46" s="4"/>
      <c r="O46" s="4"/>
      <c r="P46" s="4"/>
      <c r="Q46" s="4"/>
    </row>
    <row r="47" spans="1:17" ht="15" x14ac:dyDescent="0.2">
      <c r="A47" s="2"/>
      <c r="B47" s="2"/>
      <c r="C47" s="3"/>
      <c r="D47" s="4"/>
      <c r="E47" s="4"/>
      <c r="F47" s="640" t="s">
        <v>20</v>
      </c>
      <c r="G47" s="640"/>
      <c r="H47" s="640"/>
      <c r="I47" s="640"/>
      <c r="J47" s="640"/>
      <c r="K47" s="640"/>
      <c r="L47" s="640"/>
      <c r="M47" s="640"/>
      <c r="N47" s="640"/>
      <c r="O47" s="640"/>
      <c r="P47" s="640"/>
      <c r="Q47" s="4"/>
    </row>
    <row r="48" spans="1:17" ht="9.9499999999999993" customHeight="1" x14ac:dyDescent="0.2">
      <c r="A48" s="2"/>
      <c r="B48" s="2"/>
      <c r="C48" s="3"/>
      <c r="D48" s="4"/>
      <c r="E48" s="4"/>
      <c r="F48" s="4"/>
      <c r="G48" s="4"/>
      <c r="H48" s="4"/>
      <c r="I48" s="4"/>
      <c r="J48" s="4"/>
      <c r="K48" s="4"/>
      <c r="L48" s="4"/>
      <c r="M48" s="4"/>
      <c r="N48" s="4"/>
      <c r="O48" s="4"/>
      <c r="P48" s="4"/>
      <c r="Q48" s="4"/>
    </row>
    <row r="49" spans="1:17" x14ac:dyDescent="0.2">
      <c r="A49" s="2"/>
      <c r="B49" s="2"/>
      <c r="C49" s="3"/>
      <c r="D49" s="4"/>
      <c r="E49" s="4"/>
      <c r="F49" s="17" t="s">
        <v>964</v>
      </c>
      <c r="G49" s="17"/>
      <c r="H49" s="17"/>
      <c r="I49" s="4"/>
      <c r="J49" s="4"/>
      <c r="K49" s="4"/>
      <c r="L49" s="4"/>
      <c r="M49" s="4"/>
      <c r="N49" s="4"/>
      <c r="O49" s="645" t="s">
        <v>542</v>
      </c>
      <c r="P49" s="646"/>
      <c r="Q49" s="4"/>
    </row>
    <row r="50" spans="1:17" x14ac:dyDescent="0.2">
      <c r="A50" s="2"/>
      <c r="B50" s="2"/>
      <c r="C50" s="3"/>
      <c r="D50" s="4"/>
      <c r="E50" s="4"/>
      <c r="F50" s="17" t="s">
        <v>994</v>
      </c>
      <c r="G50" s="17"/>
      <c r="H50" s="17"/>
      <c r="I50" s="4"/>
      <c r="J50" s="4"/>
      <c r="K50" s="4"/>
      <c r="L50" s="4"/>
      <c r="M50" s="4"/>
      <c r="N50" s="4"/>
      <c r="O50" s="532">
        <v>3000</v>
      </c>
      <c r="P50" s="324" t="str">
        <f>IF(O49="Expectativa de generación anual","kWh/año",IF(O49="Potencia nominal","kW",""))</f>
        <v>kWh/año</v>
      </c>
      <c r="Q50" s="4"/>
    </row>
    <row r="51" spans="1:17" x14ac:dyDescent="0.2">
      <c r="A51" s="2"/>
      <c r="B51" s="2"/>
      <c r="C51" s="3"/>
      <c r="D51" s="4"/>
      <c r="E51" s="4"/>
      <c r="F51" s="4"/>
      <c r="G51" s="4"/>
      <c r="H51" s="4"/>
      <c r="I51" s="4"/>
      <c r="J51" s="57"/>
      <c r="K51" s="4"/>
      <c r="L51" s="4"/>
      <c r="M51" s="4"/>
      <c r="N51" s="4"/>
      <c r="O51" s="4"/>
      <c r="P51" s="4"/>
      <c r="Q51" s="4"/>
    </row>
    <row r="52" spans="1:17" ht="15" x14ac:dyDescent="0.2">
      <c r="A52" s="2"/>
      <c r="B52" s="2"/>
      <c r="C52" s="3"/>
      <c r="D52" s="4"/>
      <c r="E52" s="4"/>
      <c r="F52" s="640" t="s">
        <v>36</v>
      </c>
      <c r="G52" s="640"/>
      <c r="H52" s="640"/>
      <c r="I52" s="640"/>
      <c r="J52" s="640"/>
      <c r="K52" s="640"/>
      <c r="L52" s="640"/>
      <c r="M52" s="640"/>
      <c r="N52" s="640"/>
      <c r="O52" s="640"/>
      <c r="P52" s="640"/>
      <c r="Q52" s="4"/>
    </row>
    <row r="53" spans="1:17" ht="9.9499999999999993" customHeight="1" x14ac:dyDescent="0.2">
      <c r="A53" s="2"/>
      <c r="B53" s="2"/>
      <c r="C53" s="3"/>
      <c r="D53" s="4"/>
      <c r="E53" s="4"/>
      <c r="F53" s="4"/>
      <c r="G53" s="4"/>
      <c r="H53" s="4"/>
      <c r="I53" s="4"/>
      <c r="J53" s="4"/>
      <c r="K53" s="4"/>
      <c r="L53" s="4"/>
      <c r="M53" s="4"/>
      <c r="N53" s="4"/>
      <c r="O53" s="4"/>
      <c r="P53" s="4"/>
      <c r="Q53" s="4"/>
    </row>
    <row r="54" spans="1:17" x14ac:dyDescent="0.2">
      <c r="A54" s="2"/>
      <c r="B54" s="2"/>
      <c r="C54" s="3"/>
      <c r="D54" s="4"/>
      <c r="E54" s="4"/>
      <c r="F54" s="17" t="s">
        <v>40</v>
      </c>
      <c r="G54" s="17"/>
      <c r="H54" s="17"/>
      <c r="I54" s="19">
        <f>Datos_energia!H10</f>
        <v>0.88590000000000002</v>
      </c>
      <c r="J54" s="324" t="s">
        <v>39</v>
      </c>
      <c r="K54" s="4"/>
      <c r="L54" s="4"/>
      <c r="M54" s="4"/>
      <c r="N54" s="4"/>
      <c r="O54" s="4"/>
      <c r="P54" s="4"/>
      <c r="Q54" s="4"/>
    </row>
    <row r="55" spans="1:17" ht="15" thickBot="1" x14ac:dyDescent="0.25">
      <c r="A55" s="2"/>
      <c r="B55" s="2"/>
      <c r="C55" s="3"/>
      <c r="D55" s="4"/>
      <c r="E55" s="4"/>
      <c r="F55" s="4"/>
      <c r="G55" s="4"/>
      <c r="H55" s="4"/>
      <c r="I55" s="4"/>
      <c r="J55" s="4"/>
      <c r="K55" s="4"/>
      <c r="L55" s="4"/>
      <c r="M55" s="4"/>
      <c r="N55" s="4"/>
      <c r="O55" s="4"/>
      <c r="P55" s="4"/>
      <c r="Q55" s="4"/>
    </row>
    <row r="56" spans="1:17" x14ac:dyDescent="0.2">
      <c r="A56" s="2"/>
      <c r="B56" s="2"/>
      <c r="C56" s="3"/>
      <c r="D56" s="4"/>
      <c r="E56" s="4"/>
      <c r="F56" s="418"/>
      <c r="G56" s="419"/>
      <c r="H56" s="419"/>
      <c r="I56" s="419"/>
      <c r="J56" s="420"/>
      <c r="K56" s="4"/>
      <c r="L56" s="4"/>
      <c r="M56" s="4"/>
      <c r="N56" s="4"/>
      <c r="O56" s="4"/>
      <c r="P56" s="4"/>
      <c r="Q56" s="4"/>
    </row>
    <row r="57" spans="1:17" x14ac:dyDescent="0.2">
      <c r="A57" s="2"/>
      <c r="B57" s="2"/>
      <c r="C57" s="3"/>
      <c r="D57" s="4"/>
      <c r="E57" s="4"/>
      <c r="F57" s="421"/>
      <c r="G57" s="415"/>
      <c r="H57" s="415"/>
      <c r="I57" s="560" t="s">
        <v>689</v>
      </c>
      <c r="J57" s="638"/>
      <c r="K57" s="4"/>
      <c r="L57" s="4"/>
      <c r="M57" s="4"/>
      <c r="N57" s="4"/>
      <c r="O57" s="4"/>
      <c r="P57" s="4"/>
      <c r="Q57" s="4"/>
    </row>
    <row r="58" spans="1:17" x14ac:dyDescent="0.2">
      <c r="A58" s="2"/>
      <c r="B58" s="2"/>
      <c r="C58" s="3"/>
      <c r="D58" s="4"/>
      <c r="E58" s="4"/>
      <c r="F58" s="421"/>
      <c r="G58" s="415"/>
      <c r="H58" s="415"/>
      <c r="I58" s="560"/>
      <c r="J58" s="638"/>
      <c r="K58" s="4"/>
      <c r="L58" s="4"/>
      <c r="M58" s="4"/>
      <c r="N58" s="4"/>
      <c r="O58" s="4"/>
      <c r="P58" s="4"/>
      <c r="Q58" s="4"/>
    </row>
    <row r="59" spans="1:17" x14ac:dyDescent="0.2">
      <c r="A59" s="2"/>
      <c r="B59" s="2"/>
      <c r="C59" s="3"/>
      <c r="D59" s="4"/>
      <c r="E59" s="4"/>
      <c r="F59" s="421"/>
      <c r="G59" s="415"/>
      <c r="H59" s="415"/>
      <c r="I59" s="417"/>
      <c r="J59" s="422"/>
      <c r="K59" s="4"/>
      <c r="L59" s="4"/>
      <c r="M59" s="4"/>
      <c r="N59" s="4"/>
      <c r="O59" s="4"/>
      <c r="P59" s="4"/>
      <c r="Q59" s="4"/>
    </row>
    <row r="60" spans="1:17" x14ac:dyDescent="0.2">
      <c r="A60" s="2"/>
      <c r="B60" s="2"/>
      <c r="C60" s="3"/>
      <c r="D60" s="4"/>
      <c r="E60" s="4"/>
      <c r="F60" s="421"/>
      <c r="G60" s="415"/>
      <c r="H60" s="415"/>
      <c r="I60" s="641">
        <f>ROUND(16.4*$I$54,0)</f>
        <v>15</v>
      </c>
      <c r="J60" s="639" t="s">
        <v>690</v>
      </c>
      <c r="K60" s="4"/>
      <c r="L60" s="4"/>
      <c r="M60" s="4"/>
      <c r="N60" s="4"/>
      <c r="O60" s="4"/>
      <c r="P60" s="4"/>
      <c r="Q60" s="4"/>
    </row>
    <row r="61" spans="1:17" x14ac:dyDescent="0.2">
      <c r="A61" s="2"/>
      <c r="B61" s="2"/>
      <c r="C61" s="3"/>
      <c r="D61" s="4"/>
      <c r="E61" s="4"/>
      <c r="F61" s="421"/>
      <c r="G61" s="415"/>
      <c r="H61" s="415"/>
      <c r="I61" s="641"/>
      <c r="J61" s="639"/>
      <c r="K61" s="4"/>
      <c r="L61" s="4"/>
      <c r="M61" s="4"/>
      <c r="N61" s="4"/>
      <c r="O61" s="4"/>
      <c r="P61" s="4"/>
      <c r="Q61" s="4"/>
    </row>
    <row r="62" spans="1:17" ht="15" thickBot="1" x14ac:dyDescent="0.25">
      <c r="A62" s="2"/>
      <c r="B62" s="2"/>
      <c r="C62" s="3"/>
      <c r="D62" s="4"/>
      <c r="E62" s="4"/>
      <c r="F62" s="423"/>
      <c r="G62" s="424"/>
      <c r="H62" s="424"/>
      <c r="I62" s="424"/>
      <c r="J62" s="425"/>
      <c r="K62" s="4"/>
      <c r="L62" s="4"/>
      <c r="M62" s="4"/>
      <c r="N62" s="4"/>
      <c r="O62" s="4"/>
      <c r="P62" s="4"/>
      <c r="Q62" s="4"/>
    </row>
    <row r="63" spans="1:17" x14ac:dyDescent="0.2">
      <c r="A63" s="2"/>
      <c r="B63" s="2"/>
      <c r="C63" s="3"/>
      <c r="D63" s="4"/>
      <c r="E63" s="4"/>
      <c r="F63" s="4"/>
      <c r="G63" s="4"/>
      <c r="H63" s="4"/>
      <c r="I63" s="4"/>
      <c r="J63" s="4"/>
      <c r="K63" s="4"/>
      <c r="L63" s="4"/>
      <c r="M63" s="4"/>
      <c r="N63" s="4"/>
      <c r="O63" s="4"/>
      <c r="P63" s="4"/>
      <c r="Q63" s="4"/>
    </row>
    <row r="64" spans="1:17" ht="20.100000000000001" customHeight="1" x14ac:dyDescent="0.2">
      <c r="A64" s="2"/>
      <c r="B64" s="2"/>
      <c r="C64" s="3"/>
      <c r="D64" s="4"/>
      <c r="E64" s="4"/>
      <c r="F64" s="636" t="s">
        <v>1098</v>
      </c>
      <c r="G64" s="636"/>
      <c r="H64" s="636"/>
      <c r="I64" s="636"/>
      <c r="J64" s="636"/>
      <c r="K64" s="636"/>
      <c r="L64" s="636"/>
      <c r="M64" s="636"/>
      <c r="N64" s="636"/>
      <c r="O64" s="636"/>
      <c r="P64" s="636"/>
      <c r="Q64" s="4"/>
    </row>
    <row r="65" spans="1:17" x14ac:dyDescent="0.2">
      <c r="A65" s="2"/>
      <c r="B65" s="2"/>
      <c r="C65" s="3"/>
      <c r="D65" s="4"/>
      <c r="E65" s="4"/>
      <c r="F65" s="4"/>
      <c r="G65" s="4"/>
      <c r="H65" s="4"/>
      <c r="I65" s="4"/>
      <c r="J65" s="4"/>
      <c r="K65" s="4"/>
      <c r="L65" s="4"/>
      <c r="M65" s="4"/>
      <c r="N65" s="4"/>
      <c r="O65" s="4"/>
      <c r="P65" s="4"/>
      <c r="Q65" s="4"/>
    </row>
    <row r="66" spans="1:17" x14ac:dyDescent="0.2">
      <c r="A66" s="2"/>
      <c r="B66" s="2"/>
      <c r="C66" s="3"/>
      <c r="D66" s="4"/>
      <c r="E66" s="4"/>
      <c r="F66" s="4"/>
      <c r="G66" s="4"/>
      <c r="H66" s="4"/>
      <c r="I66" s="4"/>
      <c r="J66" s="4"/>
      <c r="K66" s="4"/>
      <c r="L66" s="4"/>
      <c r="M66" s="4"/>
      <c r="N66" s="4"/>
      <c r="O66" s="4"/>
      <c r="P66" s="4"/>
      <c r="Q66" s="4"/>
    </row>
    <row r="67" spans="1:17" ht="20.100000000000001" customHeight="1" x14ac:dyDescent="0.2">
      <c r="A67" s="2"/>
      <c r="B67" s="2"/>
      <c r="C67" s="3"/>
      <c r="D67" s="4"/>
      <c r="E67" s="647" t="s">
        <v>580</v>
      </c>
      <c r="F67" s="642" t="s">
        <v>2</v>
      </c>
      <c r="G67" s="642"/>
      <c r="H67" s="642"/>
      <c r="I67" s="642"/>
      <c r="J67" s="648" t="s">
        <v>581</v>
      </c>
      <c r="K67" s="648"/>
      <c r="L67" s="648"/>
      <c r="M67" s="648"/>
      <c r="N67" s="648"/>
      <c r="O67" s="648"/>
      <c r="P67" s="648"/>
      <c r="Q67" s="4"/>
    </row>
    <row r="68" spans="1:17" ht="20.100000000000001" customHeight="1" x14ac:dyDescent="0.2">
      <c r="A68" s="2"/>
      <c r="B68" s="2"/>
      <c r="C68" s="3"/>
      <c r="D68" s="4"/>
      <c r="E68" s="647"/>
      <c r="F68" s="642" t="s">
        <v>3</v>
      </c>
      <c r="G68" s="642"/>
      <c r="H68" s="642"/>
      <c r="I68" s="642"/>
      <c r="J68" s="648" t="s">
        <v>1083</v>
      </c>
      <c r="K68" s="648"/>
      <c r="L68" s="648"/>
      <c r="M68" s="648"/>
      <c r="N68" s="648"/>
      <c r="O68" s="648"/>
      <c r="P68" s="648"/>
      <c r="Q68" s="4"/>
    </row>
    <row r="69" spans="1:17" ht="60" customHeight="1" x14ac:dyDescent="0.2">
      <c r="A69" s="2"/>
      <c r="B69" s="2"/>
      <c r="C69" s="3"/>
      <c r="D69" s="4"/>
      <c r="E69" s="4"/>
      <c r="F69" s="642" t="s">
        <v>50</v>
      </c>
      <c r="G69" s="642"/>
      <c r="H69" s="642"/>
      <c r="I69" s="642"/>
      <c r="J69" s="643" t="s">
        <v>792</v>
      </c>
      <c r="K69" s="644"/>
      <c r="L69" s="644"/>
      <c r="M69" s="644"/>
      <c r="N69" s="644"/>
      <c r="O69" s="644"/>
      <c r="P69" s="644"/>
      <c r="Q69" s="4"/>
    </row>
    <row r="70" spans="1:17" x14ac:dyDescent="0.2">
      <c r="A70" s="2"/>
      <c r="B70" s="2"/>
      <c r="C70" s="3"/>
      <c r="D70" s="4"/>
      <c r="E70" s="4"/>
      <c r="F70" s="4"/>
      <c r="G70" s="4"/>
      <c r="H70" s="4"/>
      <c r="I70" s="4"/>
      <c r="J70" s="4"/>
      <c r="K70" s="4"/>
      <c r="L70" s="4"/>
      <c r="M70" s="4"/>
      <c r="N70" s="4"/>
      <c r="O70" s="4"/>
      <c r="P70" s="4"/>
      <c r="Q70" s="4"/>
    </row>
    <row r="71" spans="1:17" ht="15" x14ac:dyDescent="0.2">
      <c r="A71" s="2"/>
      <c r="B71" s="2"/>
      <c r="C71" s="3"/>
      <c r="D71" s="4"/>
      <c r="E71" s="4"/>
      <c r="F71" s="640" t="s">
        <v>20</v>
      </c>
      <c r="G71" s="640"/>
      <c r="H71" s="640"/>
      <c r="I71" s="640"/>
      <c r="J71" s="640"/>
      <c r="K71" s="640"/>
      <c r="L71" s="640"/>
      <c r="M71" s="640"/>
      <c r="N71" s="640"/>
      <c r="O71" s="640"/>
      <c r="P71" s="640"/>
      <c r="Q71" s="4"/>
    </row>
    <row r="72" spans="1:17" ht="9.9499999999999993" customHeight="1" x14ac:dyDescent="0.2">
      <c r="A72" s="2"/>
      <c r="B72" s="2"/>
      <c r="C72" s="3"/>
      <c r="D72" s="4"/>
      <c r="E72" s="4"/>
      <c r="F72" s="4"/>
      <c r="G72" s="4"/>
      <c r="H72" s="4"/>
      <c r="I72" s="4"/>
      <c r="J72" s="4"/>
      <c r="K72" s="4"/>
      <c r="L72" s="4"/>
      <c r="M72" s="4"/>
      <c r="N72" s="4"/>
      <c r="O72" s="4"/>
      <c r="P72" s="4"/>
      <c r="Q72" s="4"/>
    </row>
    <row r="73" spans="1:17" x14ac:dyDescent="0.2">
      <c r="A73" s="2"/>
      <c r="B73" s="2"/>
      <c r="C73" s="3"/>
      <c r="D73" s="4"/>
      <c r="E73" s="4"/>
      <c r="F73" s="17" t="s">
        <v>972</v>
      </c>
      <c r="G73" s="17"/>
      <c r="H73" s="17"/>
      <c r="I73" s="4"/>
      <c r="J73" s="4"/>
      <c r="K73" s="4"/>
      <c r="L73" s="4"/>
      <c r="M73" s="4"/>
      <c r="N73" s="4"/>
      <c r="O73" s="532">
        <v>10</v>
      </c>
      <c r="P73" s="324" t="s">
        <v>327</v>
      </c>
      <c r="Q73" s="4"/>
    </row>
    <row r="74" spans="1:17" x14ac:dyDescent="0.2">
      <c r="A74" s="2"/>
      <c r="B74" s="2"/>
      <c r="C74" s="3"/>
      <c r="D74" s="4"/>
      <c r="E74" s="4"/>
      <c r="F74" s="17" t="s">
        <v>989</v>
      </c>
      <c r="G74" s="17"/>
      <c r="H74" s="17"/>
      <c r="I74" s="4"/>
      <c r="J74" s="4"/>
      <c r="K74" s="4"/>
      <c r="L74" s="4"/>
      <c r="M74" s="4"/>
      <c r="N74" s="4"/>
      <c r="O74" s="532">
        <v>1</v>
      </c>
      <c r="P74" s="324" t="s">
        <v>995</v>
      </c>
      <c r="Q74" s="4"/>
    </row>
    <row r="75" spans="1:17" x14ac:dyDescent="0.2">
      <c r="A75" s="2"/>
      <c r="B75" s="2"/>
      <c r="C75" s="3"/>
      <c r="D75" s="4"/>
      <c r="E75" s="4"/>
      <c r="F75" s="17" t="s">
        <v>991</v>
      </c>
      <c r="G75" s="17"/>
      <c r="H75" s="17"/>
      <c r="I75" s="4"/>
      <c r="J75" s="4"/>
      <c r="K75" s="4"/>
      <c r="L75" s="4"/>
      <c r="M75" s="4"/>
      <c r="N75" s="4"/>
      <c r="O75" s="532">
        <v>24</v>
      </c>
      <c r="P75" s="324" t="s">
        <v>29</v>
      </c>
      <c r="Q75" s="4"/>
    </row>
    <row r="76" spans="1:17" x14ac:dyDescent="0.2">
      <c r="A76" s="2"/>
      <c r="B76" s="2"/>
      <c r="C76" s="3"/>
      <c r="D76" s="4"/>
      <c r="E76" s="4"/>
      <c r="F76" s="4"/>
      <c r="G76" s="4"/>
      <c r="H76" s="4"/>
      <c r="I76" s="4"/>
      <c r="J76" s="4"/>
      <c r="K76" s="4"/>
      <c r="L76" s="4"/>
      <c r="M76" s="4"/>
      <c r="N76" s="4"/>
      <c r="O76" s="4"/>
      <c r="P76" s="4"/>
      <c r="Q76" s="4"/>
    </row>
    <row r="77" spans="1:17" ht="15" x14ac:dyDescent="0.2">
      <c r="A77" s="2"/>
      <c r="B77" s="2"/>
      <c r="C77" s="3"/>
      <c r="D77" s="4"/>
      <c r="E77" s="4"/>
      <c r="F77" s="640" t="s">
        <v>36</v>
      </c>
      <c r="G77" s="640"/>
      <c r="H77" s="640"/>
      <c r="I77" s="640"/>
      <c r="J77" s="640"/>
      <c r="K77" s="640"/>
      <c r="L77" s="640"/>
      <c r="M77" s="640"/>
      <c r="N77" s="640"/>
      <c r="O77" s="640"/>
      <c r="P77" s="640"/>
      <c r="Q77" s="4"/>
    </row>
    <row r="78" spans="1:17" ht="9.9499999999999993" customHeight="1" x14ac:dyDescent="0.2">
      <c r="A78" s="2"/>
      <c r="B78" s="2"/>
      <c r="C78" s="3"/>
      <c r="D78" s="4"/>
      <c r="E78" s="4"/>
      <c r="F78" s="4"/>
      <c r="G78" s="4"/>
      <c r="H78" s="4"/>
      <c r="I78" s="4"/>
      <c r="J78" s="4"/>
      <c r="K78" s="4"/>
      <c r="L78" s="4"/>
      <c r="M78" s="4"/>
      <c r="N78" s="4"/>
      <c r="O78" s="4"/>
      <c r="P78" s="4"/>
      <c r="Q78" s="4"/>
    </row>
    <row r="79" spans="1:17" x14ac:dyDescent="0.2">
      <c r="A79" s="2"/>
      <c r="B79" s="2"/>
      <c r="C79" s="3"/>
      <c r="D79" s="4"/>
      <c r="E79" s="4"/>
      <c r="F79" s="17" t="s">
        <v>40</v>
      </c>
      <c r="G79" s="17"/>
      <c r="H79" s="17"/>
      <c r="I79" s="19">
        <f>Datos_energia!H55</f>
        <v>25.868279999999999</v>
      </c>
      <c r="J79" s="324" t="s">
        <v>39</v>
      </c>
      <c r="K79" s="4"/>
      <c r="L79" s="4"/>
      <c r="M79" s="4"/>
      <c r="N79" s="4"/>
      <c r="O79" s="4"/>
      <c r="P79" s="4"/>
      <c r="Q79" s="4"/>
    </row>
    <row r="80" spans="1:17" ht="15" thickBot="1" x14ac:dyDescent="0.25">
      <c r="A80" s="2"/>
      <c r="B80" s="2"/>
      <c r="C80" s="3"/>
      <c r="D80" s="4"/>
      <c r="E80" s="4"/>
      <c r="F80" s="4"/>
      <c r="G80" s="4"/>
      <c r="H80" s="4"/>
      <c r="I80" s="4"/>
      <c r="J80" s="4"/>
      <c r="K80" s="4"/>
      <c r="L80" s="4"/>
      <c r="M80" s="4"/>
      <c r="N80" s="4"/>
      <c r="O80" s="4"/>
      <c r="P80" s="4"/>
      <c r="Q80" s="4"/>
    </row>
    <row r="81" spans="1:17" x14ac:dyDescent="0.2">
      <c r="A81" s="2"/>
      <c r="B81" s="2"/>
      <c r="C81" s="3"/>
      <c r="D81" s="4"/>
      <c r="E81" s="4"/>
      <c r="F81" s="418"/>
      <c r="G81" s="419"/>
      <c r="H81" s="419"/>
      <c r="I81" s="419"/>
      <c r="J81" s="420"/>
      <c r="K81" s="4"/>
      <c r="L81" s="4"/>
      <c r="M81" s="4"/>
      <c r="N81" s="4"/>
      <c r="O81" s="4"/>
      <c r="P81" s="4"/>
      <c r="Q81" s="4"/>
    </row>
    <row r="82" spans="1:17" x14ac:dyDescent="0.2">
      <c r="A82" s="2"/>
      <c r="B82" s="2"/>
      <c r="C82" s="3"/>
      <c r="D82" s="4"/>
      <c r="E82" s="4"/>
      <c r="F82" s="421"/>
      <c r="G82" s="415"/>
      <c r="H82" s="415"/>
      <c r="I82" s="560" t="s">
        <v>689</v>
      </c>
      <c r="J82" s="638"/>
      <c r="K82" s="4"/>
      <c r="L82" s="4"/>
      <c r="M82" s="4"/>
      <c r="N82" s="4"/>
      <c r="O82" s="4"/>
      <c r="P82" s="4"/>
      <c r="Q82" s="4"/>
    </row>
    <row r="83" spans="1:17" x14ac:dyDescent="0.2">
      <c r="A83" s="2"/>
      <c r="B83" s="2"/>
      <c r="C83" s="3"/>
      <c r="D83" s="4"/>
      <c r="E83" s="4"/>
      <c r="F83" s="421"/>
      <c r="G83" s="415"/>
      <c r="H83" s="415"/>
      <c r="I83" s="560"/>
      <c r="J83" s="638"/>
      <c r="K83" s="4"/>
      <c r="L83" s="4"/>
      <c r="M83" s="4"/>
      <c r="N83" s="4"/>
      <c r="O83" s="4"/>
      <c r="P83" s="4"/>
      <c r="Q83" s="4"/>
    </row>
    <row r="84" spans="1:17" x14ac:dyDescent="0.2">
      <c r="A84" s="2"/>
      <c r="B84" s="2"/>
      <c r="C84" s="3"/>
      <c r="D84" s="4"/>
      <c r="E84" s="4"/>
      <c r="F84" s="421"/>
      <c r="G84" s="415"/>
      <c r="H84" s="415"/>
      <c r="I84" s="417"/>
      <c r="J84" s="422"/>
      <c r="K84" s="4"/>
      <c r="L84" s="4"/>
      <c r="M84" s="4"/>
      <c r="N84" s="4"/>
      <c r="O84" s="4"/>
      <c r="P84" s="4"/>
      <c r="Q84" s="4"/>
    </row>
    <row r="85" spans="1:17" x14ac:dyDescent="0.2">
      <c r="A85" s="2"/>
      <c r="B85" s="2"/>
      <c r="C85" s="3"/>
      <c r="D85" s="4"/>
      <c r="E85" s="4"/>
      <c r="F85" s="421"/>
      <c r="G85" s="415"/>
      <c r="H85" s="415"/>
      <c r="I85" s="641">
        <f>ROUND(16.4*I79,0)</f>
        <v>424</v>
      </c>
      <c r="J85" s="639" t="s">
        <v>690</v>
      </c>
      <c r="K85" s="4"/>
      <c r="L85" s="4"/>
      <c r="M85" s="4"/>
      <c r="N85" s="4"/>
      <c r="O85" s="4"/>
      <c r="P85" s="4"/>
      <c r="Q85" s="4"/>
    </row>
    <row r="86" spans="1:17" x14ac:dyDescent="0.2">
      <c r="A86" s="2"/>
      <c r="B86" s="2"/>
      <c r="C86" s="3"/>
      <c r="D86" s="4"/>
      <c r="E86" s="4"/>
      <c r="F86" s="421"/>
      <c r="G86" s="415"/>
      <c r="H86" s="415"/>
      <c r="I86" s="641"/>
      <c r="J86" s="639"/>
      <c r="K86" s="4"/>
      <c r="L86" s="4"/>
      <c r="M86" s="4"/>
      <c r="N86" s="4"/>
      <c r="O86" s="4"/>
      <c r="P86" s="4"/>
      <c r="Q86" s="4"/>
    </row>
    <row r="87" spans="1:17" ht="15" thickBot="1" x14ac:dyDescent="0.25">
      <c r="A87" s="2"/>
      <c r="B87" s="2"/>
      <c r="C87" s="3"/>
      <c r="D87" s="4"/>
      <c r="E87" s="4"/>
      <c r="F87" s="423"/>
      <c r="G87" s="424"/>
      <c r="H87" s="424"/>
      <c r="I87" s="424"/>
      <c r="J87" s="425"/>
      <c r="K87" s="4"/>
      <c r="L87" s="4"/>
      <c r="M87" s="4"/>
      <c r="N87" s="4"/>
      <c r="O87" s="4"/>
      <c r="P87" s="4"/>
      <c r="Q87" s="4"/>
    </row>
    <row r="88" spans="1:17" x14ac:dyDescent="0.2">
      <c r="A88" s="2"/>
      <c r="B88" s="2"/>
      <c r="C88" s="3"/>
      <c r="D88" s="4"/>
      <c r="E88" s="4"/>
      <c r="F88" s="4"/>
      <c r="G88" s="4"/>
      <c r="H88" s="4"/>
      <c r="I88" s="4"/>
      <c r="J88" s="4"/>
      <c r="K88" s="4"/>
      <c r="L88" s="4"/>
      <c r="M88" s="4"/>
      <c r="N88" s="4"/>
      <c r="O88" s="4"/>
      <c r="P88" s="4"/>
      <c r="Q88" s="4"/>
    </row>
    <row r="89" spans="1:17" ht="30" customHeight="1" x14ac:dyDescent="0.2">
      <c r="A89" s="2"/>
      <c r="B89" s="2"/>
      <c r="C89" s="3"/>
      <c r="D89" s="4"/>
      <c r="E89" s="4"/>
      <c r="F89" s="636" t="s">
        <v>1101</v>
      </c>
      <c r="G89" s="636"/>
      <c r="H89" s="636"/>
      <c r="I89" s="636"/>
      <c r="J89" s="636"/>
      <c r="K89" s="636"/>
      <c r="L89" s="636"/>
      <c r="M89" s="636"/>
      <c r="N89" s="636"/>
      <c r="O89" s="636"/>
      <c r="P89" s="636"/>
      <c r="Q89" s="4"/>
    </row>
    <row r="90" spans="1:17" x14ac:dyDescent="0.2">
      <c r="A90" s="2"/>
      <c r="B90" s="2"/>
      <c r="C90" s="3"/>
      <c r="D90" s="4"/>
      <c r="E90" s="4"/>
      <c r="F90" s="4"/>
      <c r="G90" s="4"/>
      <c r="H90" s="4"/>
      <c r="I90" s="4"/>
      <c r="J90" s="4"/>
      <c r="K90" s="4"/>
      <c r="L90" s="4"/>
      <c r="M90" s="4"/>
      <c r="N90" s="4"/>
      <c r="O90" s="4"/>
      <c r="P90" s="4"/>
      <c r="Q90" s="4"/>
    </row>
    <row r="91" spans="1:17" x14ac:dyDescent="0.2">
      <c r="A91" s="2"/>
      <c r="B91" s="2"/>
      <c r="C91" s="3"/>
      <c r="D91" s="4"/>
      <c r="E91" s="4"/>
      <c r="F91" s="4"/>
      <c r="G91" s="4"/>
      <c r="H91" s="4"/>
      <c r="I91" s="4"/>
      <c r="J91" s="4"/>
      <c r="K91" s="4"/>
      <c r="L91" s="4"/>
      <c r="M91" s="4"/>
      <c r="N91" s="4"/>
      <c r="O91" s="4"/>
      <c r="P91" s="4"/>
      <c r="Q91" s="4"/>
    </row>
    <row r="92" spans="1:17" ht="20.100000000000001" customHeight="1" x14ac:dyDescent="0.2">
      <c r="A92" s="2"/>
      <c r="B92" s="2"/>
      <c r="C92" s="3"/>
      <c r="D92" s="4"/>
      <c r="E92" s="647" t="s">
        <v>583</v>
      </c>
      <c r="F92" s="642" t="s">
        <v>2</v>
      </c>
      <c r="G92" s="642"/>
      <c r="H92" s="642"/>
      <c r="I92" s="642"/>
      <c r="J92" s="648" t="s">
        <v>582</v>
      </c>
      <c r="K92" s="648"/>
      <c r="L92" s="648"/>
      <c r="M92" s="648"/>
      <c r="N92" s="648"/>
      <c r="O92" s="648"/>
      <c r="P92" s="648"/>
      <c r="Q92" s="4"/>
    </row>
    <row r="93" spans="1:17" ht="20.100000000000001" customHeight="1" x14ac:dyDescent="0.2">
      <c r="A93" s="2"/>
      <c r="B93" s="2"/>
      <c r="C93" s="3"/>
      <c r="D93" s="4"/>
      <c r="E93" s="647"/>
      <c r="F93" s="642" t="s">
        <v>3</v>
      </c>
      <c r="G93" s="642"/>
      <c r="H93" s="642"/>
      <c r="I93" s="642"/>
      <c r="J93" s="648" t="s">
        <v>1083</v>
      </c>
      <c r="K93" s="648"/>
      <c r="L93" s="648"/>
      <c r="M93" s="648"/>
      <c r="N93" s="648"/>
      <c r="O93" s="648"/>
      <c r="P93" s="648"/>
      <c r="Q93" s="4"/>
    </row>
    <row r="94" spans="1:17" ht="60" customHeight="1" x14ac:dyDescent="0.2">
      <c r="A94" s="2"/>
      <c r="B94" s="2"/>
      <c r="C94" s="3"/>
      <c r="D94" s="4"/>
      <c r="E94" s="4"/>
      <c r="F94" s="642" t="s">
        <v>50</v>
      </c>
      <c r="G94" s="642"/>
      <c r="H94" s="642"/>
      <c r="I94" s="642"/>
      <c r="J94" s="643" t="s">
        <v>794</v>
      </c>
      <c r="K94" s="644"/>
      <c r="L94" s="644"/>
      <c r="M94" s="644"/>
      <c r="N94" s="644"/>
      <c r="O94" s="644"/>
      <c r="P94" s="644"/>
      <c r="Q94" s="4"/>
    </row>
    <row r="95" spans="1:17" x14ac:dyDescent="0.2">
      <c r="A95" s="2"/>
      <c r="B95" s="2"/>
      <c r="C95" s="3"/>
      <c r="D95" s="4"/>
      <c r="E95" s="4"/>
      <c r="F95" s="4"/>
      <c r="G95" s="4"/>
      <c r="H95" s="4"/>
      <c r="I95" s="4"/>
      <c r="J95" s="4"/>
      <c r="K95" s="4"/>
      <c r="L95" s="4"/>
      <c r="M95" s="4"/>
      <c r="N95" s="4"/>
      <c r="O95" s="4"/>
      <c r="P95" s="4"/>
      <c r="Q95" s="4"/>
    </row>
    <row r="96" spans="1:17" ht="15" x14ac:dyDescent="0.2">
      <c r="A96" s="2"/>
      <c r="B96" s="2"/>
      <c r="C96" s="3"/>
      <c r="D96" s="4"/>
      <c r="E96" s="4"/>
      <c r="F96" s="640" t="s">
        <v>20</v>
      </c>
      <c r="G96" s="640"/>
      <c r="H96" s="640"/>
      <c r="I96" s="640"/>
      <c r="J96" s="640"/>
      <c r="K96" s="640"/>
      <c r="L96" s="640"/>
      <c r="M96" s="640"/>
      <c r="N96" s="640"/>
      <c r="O96" s="640"/>
      <c r="P96" s="640"/>
      <c r="Q96" s="4"/>
    </row>
    <row r="97" spans="1:17" ht="9.9499999999999993" customHeight="1" x14ac:dyDescent="0.2">
      <c r="A97" s="2"/>
      <c r="B97" s="2"/>
      <c r="C97" s="3"/>
      <c r="D97" s="4"/>
      <c r="E97" s="4"/>
      <c r="F97" s="4"/>
      <c r="G97" s="4"/>
      <c r="H97" s="4"/>
      <c r="I97" s="4"/>
      <c r="J97" s="4"/>
      <c r="K97" s="4"/>
      <c r="L97" s="4"/>
      <c r="M97" s="4"/>
      <c r="N97" s="4"/>
      <c r="O97" s="4"/>
      <c r="P97" s="4"/>
      <c r="Q97" s="4"/>
    </row>
    <row r="98" spans="1:17" x14ac:dyDescent="0.2">
      <c r="A98" s="2"/>
      <c r="B98" s="2"/>
      <c r="C98" s="3"/>
      <c r="D98" s="4"/>
      <c r="E98" s="4"/>
      <c r="F98" s="17" t="s">
        <v>972</v>
      </c>
      <c r="G98" s="17"/>
      <c r="H98" s="17"/>
      <c r="I98" s="17"/>
      <c r="J98" s="17"/>
      <c r="K98" s="317"/>
      <c r="L98" s="4"/>
      <c r="M98" s="4"/>
      <c r="N98" s="4"/>
      <c r="O98" s="532">
        <v>150</v>
      </c>
      <c r="P98" s="324" t="s">
        <v>52</v>
      </c>
      <c r="Q98" s="4"/>
    </row>
    <row r="99" spans="1:17" x14ac:dyDescent="0.2">
      <c r="A99" s="2"/>
      <c r="B99" s="2"/>
      <c r="C99" s="3"/>
      <c r="D99" s="4"/>
      <c r="E99" s="4"/>
      <c r="F99" s="17" t="s">
        <v>989</v>
      </c>
      <c r="G99" s="17"/>
      <c r="H99" s="17"/>
      <c r="I99" s="17"/>
      <c r="J99" s="17"/>
      <c r="K99" s="317"/>
      <c r="L99" s="4"/>
      <c r="M99" s="4"/>
      <c r="N99" s="4"/>
      <c r="O99" s="532">
        <v>12</v>
      </c>
      <c r="P99" s="324" t="s">
        <v>996</v>
      </c>
      <c r="Q99" s="4"/>
    </row>
    <row r="100" spans="1:17" x14ac:dyDescent="0.2">
      <c r="A100" s="2"/>
      <c r="B100" s="2"/>
      <c r="C100" s="3"/>
      <c r="D100" s="4"/>
      <c r="E100" s="4"/>
      <c r="F100" s="4"/>
      <c r="G100" s="4"/>
      <c r="H100" s="4"/>
      <c r="I100" s="651"/>
      <c r="J100" s="651"/>
      <c r="K100" s="317"/>
      <c r="L100" s="4"/>
      <c r="M100" s="4"/>
      <c r="N100" s="4"/>
      <c r="O100" s="4"/>
      <c r="P100" s="4"/>
      <c r="Q100" s="4"/>
    </row>
    <row r="101" spans="1:17" ht="15" x14ac:dyDescent="0.2">
      <c r="A101" s="2"/>
      <c r="B101" s="2"/>
      <c r="C101" s="3"/>
      <c r="D101" s="4"/>
      <c r="E101" s="4"/>
      <c r="F101" s="640" t="s">
        <v>36</v>
      </c>
      <c r="G101" s="640"/>
      <c r="H101" s="640"/>
      <c r="I101" s="640"/>
      <c r="J101" s="640"/>
      <c r="K101" s="640"/>
      <c r="L101" s="640"/>
      <c r="M101" s="640"/>
      <c r="N101" s="640"/>
      <c r="O101" s="640"/>
      <c r="P101" s="640"/>
      <c r="Q101" s="4"/>
    </row>
    <row r="102" spans="1:17" ht="9.9499999999999993" customHeight="1" x14ac:dyDescent="0.2">
      <c r="A102" s="2"/>
      <c r="B102" s="2"/>
      <c r="C102" s="3"/>
      <c r="D102" s="4"/>
      <c r="E102" s="4"/>
      <c r="F102" s="4"/>
      <c r="G102" s="4"/>
      <c r="H102" s="4"/>
      <c r="I102" s="4"/>
      <c r="J102" s="4"/>
      <c r="K102" s="4"/>
      <c r="L102" s="4"/>
      <c r="M102" s="4"/>
      <c r="N102" s="4"/>
      <c r="O102" s="4"/>
      <c r="P102" s="4"/>
      <c r="Q102" s="4"/>
    </row>
    <row r="103" spans="1:17" x14ac:dyDescent="0.2">
      <c r="A103" s="2"/>
      <c r="B103" s="2"/>
      <c r="C103" s="3"/>
      <c r="D103" s="4"/>
      <c r="E103" s="4"/>
      <c r="F103" s="17" t="s">
        <v>40</v>
      </c>
      <c r="G103" s="17"/>
      <c r="H103" s="17"/>
      <c r="I103" s="19">
        <f>Datos_energia!H25</f>
        <v>2.3281451999999998</v>
      </c>
      <c r="J103" s="177" t="s">
        <v>39</v>
      </c>
      <c r="K103" s="4"/>
      <c r="L103" s="4"/>
      <c r="M103" s="4"/>
      <c r="N103" s="4"/>
      <c r="O103" s="4"/>
      <c r="P103" s="4"/>
      <c r="Q103" s="4"/>
    </row>
    <row r="104" spans="1:17" ht="15" thickBot="1" x14ac:dyDescent="0.25">
      <c r="A104" s="2"/>
      <c r="B104" s="2"/>
      <c r="C104" s="3"/>
      <c r="D104" s="4"/>
      <c r="E104" s="4"/>
      <c r="F104" s="4"/>
      <c r="G104" s="4"/>
      <c r="H104" s="4"/>
      <c r="I104" s="4"/>
      <c r="J104" s="4"/>
      <c r="K104" s="4"/>
      <c r="L104" s="4"/>
      <c r="M104" s="4"/>
      <c r="N104" s="4"/>
      <c r="O104" s="4"/>
      <c r="P104" s="4"/>
      <c r="Q104" s="4"/>
    </row>
    <row r="105" spans="1:17" x14ac:dyDescent="0.2">
      <c r="A105" s="2"/>
      <c r="B105" s="2"/>
      <c r="C105" s="3"/>
      <c r="D105" s="4"/>
      <c r="E105" s="4"/>
      <c r="F105" s="418"/>
      <c r="G105" s="419"/>
      <c r="H105" s="419"/>
      <c r="I105" s="419"/>
      <c r="J105" s="420"/>
      <c r="K105" s="4"/>
      <c r="L105" s="4"/>
      <c r="M105" s="4"/>
      <c r="N105" s="4"/>
      <c r="O105" s="4"/>
      <c r="P105" s="4"/>
      <c r="Q105" s="4"/>
    </row>
    <row r="106" spans="1:17" x14ac:dyDescent="0.2">
      <c r="A106" s="2"/>
      <c r="B106" s="2"/>
      <c r="C106" s="3"/>
      <c r="D106" s="4"/>
      <c r="E106" s="4"/>
      <c r="F106" s="421"/>
      <c r="G106" s="415"/>
      <c r="H106" s="415"/>
      <c r="I106" s="560" t="s">
        <v>689</v>
      </c>
      <c r="J106" s="638"/>
      <c r="K106" s="4"/>
      <c r="L106" s="4"/>
      <c r="M106" s="4"/>
      <c r="N106" s="4"/>
      <c r="O106" s="4"/>
      <c r="P106" s="4"/>
      <c r="Q106" s="4"/>
    </row>
    <row r="107" spans="1:17" x14ac:dyDescent="0.2">
      <c r="A107" s="2"/>
      <c r="B107" s="2"/>
      <c r="C107" s="3"/>
      <c r="D107" s="4"/>
      <c r="E107" s="4"/>
      <c r="F107" s="421"/>
      <c r="G107" s="415"/>
      <c r="H107" s="415"/>
      <c r="I107" s="560"/>
      <c r="J107" s="638"/>
      <c r="K107" s="4"/>
      <c r="L107" s="4"/>
      <c r="M107" s="4"/>
      <c r="N107" s="4"/>
      <c r="O107" s="4"/>
      <c r="P107" s="4"/>
      <c r="Q107" s="4"/>
    </row>
    <row r="108" spans="1:17" x14ac:dyDescent="0.2">
      <c r="A108" s="2"/>
      <c r="B108" s="2"/>
      <c r="C108" s="3"/>
      <c r="D108" s="4"/>
      <c r="E108" s="4"/>
      <c r="F108" s="421"/>
      <c r="G108" s="415"/>
      <c r="H108" s="415"/>
      <c r="I108" s="417"/>
      <c r="J108" s="422"/>
      <c r="K108" s="4"/>
      <c r="L108" s="4"/>
      <c r="M108" s="4"/>
      <c r="N108" s="4"/>
      <c r="O108" s="4"/>
      <c r="P108" s="4"/>
      <c r="Q108" s="4"/>
    </row>
    <row r="109" spans="1:17" x14ac:dyDescent="0.2">
      <c r="A109" s="2"/>
      <c r="B109" s="2"/>
      <c r="C109" s="3"/>
      <c r="D109" s="4"/>
      <c r="E109" s="4"/>
      <c r="F109" s="421"/>
      <c r="G109" s="415"/>
      <c r="H109" s="415"/>
      <c r="I109" s="641">
        <f>ROUND(16.4*I103,0)</f>
        <v>38</v>
      </c>
      <c r="J109" s="639" t="s">
        <v>690</v>
      </c>
      <c r="K109" s="4"/>
      <c r="L109" s="4"/>
      <c r="M109" s="4"/>
      <c r="N109" s="4"/>
      <c r="O109" s="4"/>
      <c r="P109" s="4"/>
      <c r="Q109" s="4"/>
    </row>
    <row r="110" spans="1:17" x14ac:dyDescent="0.2">
      <c r="A110" s="2"/>
      <c r="B110" s="2"/>
      <c r="C110" s="3"/>
      <c r="D110" s="4"/>
      <c r="E110" s="4"/>
      <c r="F110" s="421"/>
      <c r="G110" s="415"/>
      <c r="H110" s="415"/>
      <c r="I110" s="641"/>
      <c r="J110" s="639"/>
      <c r="K110" s="4"/>
      <c r="L110" s="4"/>
      <c r="M110" s="4"/>
      <c r="N110" s="4"/>
      <c r="O110" s="4"/>
      <c r="P110" s="4"/>
      <c r="Q110" s="4"/>
    </row>
    <row r="111" spans="1:17" ht="15" thickBot="1" x14ac:dyDescent="0.25">
      <c r="A111" s="2"/>
      <c r="B111" s="2"/>
      <c r="C111" s="3"/>
      <c r="D111" s="4"/>
      <c r="E111" s="4"/>
      <c r="F111" s="423"/>
      <c r="G111" s="424"/>
      <c r="H111" s="424"/>
      <c r="I111" s="424"/>
      <c r="J111" s="425"/>
      <c r="K111" s="4"/>
      <c r="L111" s="4"/>
      <c r="M111" s="4"/>
      <c r="N111" s="4"/>
      <c r="O111" s="4"/>
      <c r="P111" s="4"/>
      <c r="Q111" s="4"/>
    </row>
    <row r="112" spans="1:17" x14ac:dyDescent="0.2">
      <c r="A112" s="2"/>
      <c r="B112" s="2"/>
      <c r="C112" s="3"/>
      <c r="D112" s="4"/>
      <c r="E112" s="4"/>
      <c r="F112" s="4"/>
      <c r="G112" s="4"/>
      <c r="H112" s="4"/>
      <c r="I112" s="4"/>
      <c r="J112" s="4"/>
      <c r="K112" s="4"/>
      <c r="L112" s="4"/>
      <c r="M112" s="4"/>
      <c r="N112" s="4"/>
      <c r="O112" s="4"/>
      <c r="P112" s="4"/>
      <c r="Q112" s="4"/>
    </row>
    <row r="113" spans="1:17" ht="30" customHeight="1" x14ac:dyDescent="0.2">
      <c r="A113" s="2"/>
      <c r="B113" s="2"/>
      <c r="C113" s="3"/>
      <c r="D113" s="4"/>
      <c r="E113" s="4"/>
      <c r="F113" s="636" t="s">
        <v>1100</v>
      </c>
      <c r="G113" s="636"/>
      <c r="H113" s="636"/>
      <c r="I113" s="636"/>
      <c r="J113" s="636"/>
      <c r="K113" s="636"/>
      <c r="L113" s="636"/>
      <c r="M113" s="636"/>
      <c r="N113" s="636"/>
      <c r="O113" s="636"/>
      <c r="P113" s="636"/>
      <c r="Q113" s="4"/>
    </row>
    <row r="114" spans="1:17" x14ac:dyDescent="0.2">
      <c r="A114" s="2"/>
      <c r="B114" s="2"/>
      <c r="C114" s="3"/>
      <c r="D114" s="4"/>
      <c r="E114" s="4"/>
      <c r="F114" s="4"/>
      <c r="G114" s="4"/>
      <c r="H114" s="4"/>
      <c r="I114" s="4"/>
      <c r="J114" s="4"/>
      <c r="K114" s="4"/>
      <c r="L114" s="4"/>
      <c r="M114" s="4"/>
      <c r="N114" s="4"/>
      <c r="O114" s="4"/>
      <c r="P114" s="4"/>
      <c r="Q114" s="4"/>
    </row>
    <row r="115" spans="1:17" x14ac:dyDescent="0.2">
      <c r="A115" s="2"/>
      <c r="B115" s="2"/>
      <c r="C115" s="3"/>
      <c r="D115" s="4"/>
      <c r="E115" s="4"/>
      <c r="F115" s="4"/>
      <c r="G115" s="4"/>
      <c r="H115" s="4"/>
      <c r="I115" s="4"/>
      <c r="J115" s="4"/>
      <c r="K115" s="4"/>
      <c r="L115" s="4"/>
      <c r="M115" s="4"/>
      <c r="N115" s="4"/>
      <c r="O115" s="4"/>
      <c r="P115" s="4"/>
      <c r="Q115" s="4"/>
    </row>
    <row r="116" spans="1:17" ht="30" customHeight="1" x14ac:dyDescent="0.2">
      <c r="A116" s="2"/>
      <c r="B116" s="2"/>
      <c r="C116" s="3"/>
      <c r="D116" s="4"/>
      <c r="E116" s="647" t="s">
        <v>587</v>
      </c>
      <c r="F116" s="642" t="s">
        <v>2</v>
      </c>
      <c r="G116" s="642"/>
      <c r="H116" s="642"/>
      <c r="I116" s="642"/>
      <c r="J116" s="648" t="s">
        <v>584</v>
      </c>
      <c r="K116" s="648"/>
      <c r="L116" s="648"/>
      <c r="M116" s="648"/>
      <c r="N116" s="648"/>
      <c r="O116" s="648"/>
      <c r="P116" s="648"/>
      <c r="Q116" s="4"/>
    </row>
    <row r="117" spans="1:17" ht="20.100000000000001" customHeight="1" x14ac:dyDescent="0.2">
      <c r="A117" s="2"/>
      <c r="B117" s="2"/>
      <c r="C117" s="3"/>
      <c r="D117" s="4"/>
      <c r="E117" s="647"/>
      <c r="F117" s="642" t="s">
        <v>3</v>
      </c>
      <c r="G117" s="642"/>
      <c r="H117" s="642"/>
      <c r="I117" s="642"/>
      <c r="J117" s="648" t="s">
        <v>1083</v>
      </c>
      <c r="K117" s="648"/>
      <c r="L117" s="648"/>
      <c r="M117" s="648"/>
      <c r="N117" s="648"/>
      <c r="O117" s="648"/>
      <c r="P117" s="648"/>
      <c r="Q117" s="4"/>
    </row>
    <row r="118" spans="1:17" ht="50.1" customHeight="1" x14ac:dyDescent="0.2">
      <c r="A118" s="2"/>
      <c r="B118" s="2"/>
      <c r="C118" s="3"/>
      <c r="D118" s="4"/>
      <c r="E118" s="4"/>
      <c r="F118" s="642" t="s">
        <v>50</v>
      </c>
      <c r="G118" s="642"/>
      <c r="H118" s="642"/>
      <c r="I118" s="642"/>
      <c r="J118" s="643" t="s">
        <v>795</v>
      </c>
      <c r="K118" s="644"/>
      <c r="L118" s="644"/>
      <c r="M118" s="644"/>
      <c r="N118" s="644"/>
      <c r="O118" s="644"/>
      <c r="P118" s="644"/>
      <c r="Q118" s="4"/>
    </row>
    <row r="119" spans="1:17" x14ac:dyDescent="0.2">
      <c r="A119" s="2"/>
      <c r="B119" s="2"/>
      <c r="C119" s="3"/>
      <c r="D119" s="4"/>
      <c r="E119" s="4"/>
      <c r="F119" s="4"/>
      <c r="G119" s="4"/>
      <c r="H119" s="4"/>
      <c r="I119" s="4"/>
      <c r="J119" s="4"/>
      <c r="K119" s="4"/>
      <c r="L119" s="4"/>
      <c r="M119" s="4"/>
      <c r="N119" s="4"/>
      <c r="O119" s="4"/>
      <c r="P119" s="4"/>
      <c r="Q119" s="4"/>
    </row>
    <row r="120" spans="1:17" ht="15" x14ac:dyDescent="0.2">
      <c r="A120" s="2"/>
      <c r="B120" s="2"/>
      <c r="C120" s="3"/>
      <c r="D120" s="4"/>
      <c r="E120" s="4"/>
      <c r="F120" s="640" t="s">
        <v>20</v>
      </c>
      <c r="G120" s="640"/>
      <c r="H120" s="640"/>
      <c r="I120" s="640"/>
      <c r="J120" s="640"/>
      <c r="K120" s="640"/>
      <c r="L120" s="640"/>
      <c r="M120" s="640"/>
      <c r="N120" s="640"/>
      <c r="O120" s="640"/>
      <c r="P120" s="640"/>
      <c r="Q120" s="4"/>
    </row>
    <row r="121" spans="1:17" ht="9.9499999999999993" customHeight="1" x14ac:dyDescent="0.2">
      <c r="A121" s="2"/>
      <c r="B121" s="2"/>
      <c r="C121" s="3"/>
      <c r="D121" s="4"/>
      <c r="E121" s="4"/>
      <c r="F121" s="4"/>
      <c r="G121" s="4"/>
      <c r="H121" s="4"/>
      <c r="I121" s="4"/>
      <c r="J121" s="4"/>
      <c r="K121" s="4"/>
      <c r="L121" s="4"/>
      <c r="M121" s="4"/>
      <c r="N121" s="4"/>
      <c r="O121" s="4"/>
      <c r="P121" s="4"/>
      <c r="Q121" s="4"/>
    </row>
    <row r="122" spans="1:17" x14ac:dyDescent="0.2">
      <c r="A122" s="2"/>
      <c r="B122" s="2"/>
      <c r="C122" s="3"/>
      <c r="D122" s="4"/>
      <c r="E122" s="4"/>
      <c r="F122" s="17" t="s">
        <v>998</v>
      </c>
      <c r="G122" s="17"/>
      <c r="H122" s="17"/>
      <c r="I122" s="4"/>
      <c r="J122" s="4"/>
      <c r="K122" s="4"/>
      <c r="L122" s="4"/>
      <c r="M122" s="4"/>
      <c r="N122" s="4"/>
      <c r="O122" s="602" t="s">
        <v>953</v>
      </c>
      <c r="P122" s="587"/>
      <c r="Q122" s="4"/>
    </row>
    <row r="123" spans="1:17" x14ac:dyDescent="0.2">
      <c r="A123" s="2"/>
      <c r="B123" s="2"/>
      <c r="C123" s="3"/>
      <c r="D123" s="4"/>
      <c r="E123" s="4"/>
      <c r="F123" s="17" t="s">
        <v>997</v>
      </c>
      <c r="G123" s="17"/>
      <c r="H123" s="17"/>
      <c r="I123" s="4"/>
      <c r="J123" s="4"/>
      <c r="K123" s="4"/>
      <c r="L123" s="4"/>
      <c r="M123" s="4"/>
      <c r="N123" s="4"/>
      <c r="O123" s="536">
        <v>1000</v>
      </c>
      <c r="P123" s="324" t="s">
        <v>585</v>
      </c>
      <c r="Q123" s="4"/>
    </row>
    <row r="124" spans="1:17" x14ac:dyDescent="0.2">
      <c r="A124" s="2"/>
      <c r="B124" s="2"/>
      <c r="C124" s="3"/>
      <c r="D124" s="4"/>
      <c r="E124" s="4"/>
      <c r="F124" s="17" t="s">
        <v>999</v>
      </c>
      <c r="G124" s="4"/>
      <c r="H124" s="4"/>
      <c r="I124" s="4"/>
      <c r="J124" s="4"/>
      <c r="K124" s="4"/>
      <c r="L124" s="4"/>
      <c r="M124" s="4"/>
      <c r="N124" s="4"/>
      <c r="O124" s="602" t="s">
        <v>567</v>
      </c>
      <c r="P124" s="587"/>
      <c r="Q124" s="4"/>
    </row>
    <row r="125" spans="1:17" x14ac:dyDescent="0.2">
      <c r="A125" s="2"/>
      <c r="B125" s="2"/>
      <c r="C125" s="3"/>
      <c r="D125" s="4"/>
      <c r="E125" s="4"/>
      <c r="F125" s="4"/>
      <c r="G125" s="4"/>
      <c r="H125" s="4"/>
      <c r="I125" s="4"/>
      <c r="J125" s="4"/>
      <c r="K125" s="4"/>
      <c r="L125" s="4"/>
      <c r="M125" s="4"/>
      <c r="N125" s="4"/>
      <c r="O125" s="4"/>
      <c r="P125" s="4"/>
      <c r="Q125" s="4"/>
    </row>
    <row r="126" spans="1:17" ht="15" x14ac:dyDescent="0.2">
      <c r="A126" s="2"/>
      <c r="B126" s="2"/>
      <c r="C126" s="3"/>
      <c r="D126" s="4"/>
      <c r="E126" s="4"/>
      <c r="F126" s="640" t="s">
        <v>36</v>
      </c>
      <c r="G126" s="640"/>
      <c r="H126" s="640"/>
      <c r="I126" s="640"/>
      <c r="J126" s="640"/>
      <c r="K126" s="640"/>
      <c r="L126" s="640"/>
      <c r="M126" s="640"/>
      <c r="N126" s="640"/>
      <c r="O126" s="640"/>
      <c r="P126" s="640"/>
      <c r="Q126" s="4"/>
    </row>
    <row r="127" spans="1:17" ht="9.9499999999999993" customHeight="1" x14ac:dyDescent="0.2">
      <c r="A127" s="2"/>
      <c r="B127" s="2"/>
      <c r="C127" s="3"/>
      <c r="D127" s="4"/>
      <c r="E127" s="4"/>
      <c r="F127" s="4"/>
      <c r="G127" s="4"/>
      <c r="H127" s="4"/>
      <c r="I127" s="4"/>
      <c r="J127" s="4"/>
      <c r="K127" s="4"/>
      <c r="L127" s="4"/>
      <c r="M127" s="4"/>
      <c r="N127" s="4"/>
      <c r="O127" s="4"/>
      <c r="P127" s="4"/>
      <c r="Q127" s="4"/>
    </row>
    <row r="128" spans="1:17" x14ac:dyDescent="0.2">
      <c r="A128" s="2"/>
      <c r="B128" s="2"/>
      <c r="C128" s="3"/>
      <c r="D128" s="4"/>
      <c r="E128" s="4"/>
      <c r="F128" s="17" t="s">
        <v>40</v>
      </c>
      <c r="G128" s="17"/>
      <c r="H128" s="17"/>
      <c r="I128" s="19">
        <f>Datos_energia!H70</f>
        <v>327.85252499999984</v>
      </c>
      <c r="J128" s="324" t="s">
        <v>39</v>
      </c>
      <c r="K128" s="4"/>
      <c r="L128" s="4"/>
      <c r="M128" s="4"/>
      <c r="N128" s="4"/>
      <c r="O128" s="4"/>
      <c r="P128" s="4"/>
      <c r="Q128" s="4"/>
    </row>
    <row r="129" spans="1:17" ht="15" thickBot="1" x14ac:dyDescent="0.25">
      <c r="A129" s="2"/>
      <c r="B129" s="2"/>
      <c r="C129" s="3"/>
      <c r="D129" s="4"/>
      <c r="E129" s="4"/>
      <c r="F129" s="4"/>
      <c r="G129" s="4"/>
      <c r="H129" s="4"/>
      <c r="I129" s="4"/>
      <c r="J129" s="4"/>
      <c r="K129" s="4"/>
      <c r="L129" s="4"/>
      <c r="M129" s="4"/>
      <c r="N129" s="4"/>
      <c r="O129" s="4"/>
      <c r="P129" s="4"/>
      <c r="Q129" s="4"/>
    </row>
    <row r="130" spans="1:17" x14ac:dyDescent="0.2">
      <c r="A130" s="2"/>
      <c r="B130" s="2"/>
      <c r="C130" s="3"/>
      <c r="D130" s="4"/>
      <c r="E130" s="4"/>
      <c r="F130" s="418"/>
      <c r="G130" s="419"/>
      <c r="H130" s="419"/>
      <c r="I130" s="419"/>
      <c r="J130" s="420"/>
      <c r="K130" s="4"/>
      <c r="L130" s="4"/>
      <c r="M130" s="4"/>
      <c r="N130" s="4"/>
      <c r="O130" s="4"/>
      <c r="P130" s="4"/>
      <c r="Q130" s="4"/>
    </row>
    <row r="131" spans="1:17" x14ac:dyDescent="0.2">
      <c r="A131" s="2"/>
      <c r="B131" s="2"/>
      <c r="C131" s="3"/>
      <c r="D131" s="4"/>
      <c r="E131" s="4"/>
      <c r="F131" s="421"/>
      <c r="G131" s="415"/>
      <c r="H131" s="415"/>
      <c r="I131" s="560" t="s">
        <v>689</v>
      </c>
      <c r="J131" s="638"/>
      <c r="K131" s="4"/>
      <c r="L131" s="4"/>
      <c r="M131" s="4"/>
      <c r="N131" s="4"/>
      <c r="O131" s="4"/>
      <c r="P131" s="4"/>
      <c r="Q131" s="4"/>
    </row>
    <row r="132" spans="1:17" x14ac:dyDescent="0.2">
      <c r="A132" s="2"/>
      <c r="B132" s="2"/>
      <c r="C132" s="3"/>
      <c r="D132" s="4"/>
      <c r="E132" s="4"/>
      <c r="F132" s="421"/>
      <c r="G132" s="415"/>
      <c r="H132" s="415"/>
      <c r="I132" s="560"/>
      <c r="J132" s="638"/>
      <c r="K132" s="4"/>
      <c r="L132" s="4"/>
      <c r="M132" s="4"/>
      <c r="N132" s="4"/>
      <c r="O132" s="4"/>
      <c r="P132" s="4"/>
      <c r="Q132" s="4"/>
    </row>
    <row r="133" spans="1:17" x14ac:dyDescent="0.2">
      <c r="A133" s="2"/>
      <c r="B133" s="2"/>
      <c r="C133" s="3"/>
      <c r="D133" s="4"/>
      <c r="E133" s="4"/>
      <c r="F133" s="421"/>
      <c r="G133" s="415"/>
      <c r="H133" s="415"/>
      <c r="I133" s="417"/>
      <c r="J133" s="422"/>
      <c r="K133" s="4"/>
      <c r="L133" s="4"/>
      <c r="M133" s="4"/>
      <c r="N133" s="4"/>
      <c r="O133" s="4"/>
      <c r="P133" s="4"/>
      <c r="Q133" s="4"/>
    </row>
    <row r="134" spans="1:17" x14ac:dyDescent="0.2">
      <c r="A134" s="2"/>
      <c r="B134" s="2"/>
      <c r="C134" s="3"/>
      <c r="D134" s="4"/>
      <c r="E134" s="4"/>
      <c r="F134" s="421"/>
      <c r="G134" s="415"/>
      <c r="H134" s="415"/>
      <c r="I134" s="641">
        <f>ROUND(16.4*I128,0)</f>
        <v>5377</v>
      </c>
      <c r="J134" s="639" t="s">
        <v>690</v>
      </c>
      <c r="K134" s="4"/>
      <c r="L134" s="4"/>
      <c r="M134" s="4"/>
      <c r="N134" s="4"/>
      <c r="O134" s="4"/>
      <c r="P134" s="4"/>
      <c r="Q134" s="4"/>
    </row>
    <row r="135" spans="1:17" x14ac:dyDescent="0.2">
      <c r="A135" s="2"/>
      <c r="B135" s="2"/>
      <c r="C135" s="3"/>
      <c r="D135" s="4"/>
      <c r="E135" s="4"/>
      <c r="F135" s="421"/>
      <c r="G135" s="415"/>
      <c r="H135" s="415"/>
      <c r="I135" s="641"/>
      <c r="J135" s="639"/>
      <c r="K135" s="4"/>
      <c r="L135" s="4"/>
      <c r="M135" s="4"/>
      <c r="N135" s="4"/>
      <c r="O135" s="4"/>
      <c r="P135" s="4"/>
      <c r="Q135" s="4"/>
    </row>
    <row r="136" spans="1:17" ht="15" thickBot="1" x14ac:dyDescent="0.25">
      <c r="A136" s="2"/>
      <c r="B136" s="2"/>
      <c r="C136" s="3"/>
      <c r="D136" s="4"/>
      <c r="E136" s="4"/>
      <c r="F136" s="423"/>
      <c r="G136" s="424"/>
      <c r="H136" s="424"/>
      <c r="I136" s="424"/>
      <c r="J136" s="425"/>
      <c r="K136" s="4"/>
      <c r="L136" s="4"/>
      <c r="M136" s="4"/>
      <c r="N136" s="4"/>
      <c r="O136" s="4"/>
      <c r="P136" s="4"/>
      <c r="Q136" s="4"/>
    </row>
    <row r="137" spans="1:17" x14ac:dyDescent="0.2">
      <c r="A137" s="2"/>
      <c r="B137" s="2"/>
      <c r="C137" s="3"/>
      <c r="D137" s="4"/>
      <c r="E137" s="4"/>
      <c r="F137" s="4"/>
      <c r="G137" s="4"/>
      <c r="H137" s="4"/>
      <c r="I137" s="4"/>
      <c r="J137" s="4"/>
      <c r="K137" s="4"/>
      <c r="L137" s="4"/>
      <c r="M137" s="4"/>
      <c r="N137" s="4"/>
      <c r="O137" s="4"/>
      <c r="P137" s="4"/>
      <c r="Q137" s="4"/>
    </row>
    <row r="138" spans="1:17" ht="42.95" customHeight="1" x14ac:dyDescent="0.2">
      <c r="A138" s="2"/>
      <c r="B138" s="2"/>
      <c r="C138" s="3"/>
      <c r="D138" s="4"/>
      <c r="E138" s="4"/>
      <c r="F138" s="637" t="s">
        <v>1042</v>
      </c>
      <c r="G138" s="636"/>
      <c r="H138" s="636"/>
      <c r="I138" s="636"/>
      <c r="J138" s="636"/>
      <c r="K138" s="636"/>
      <c r="L138" s="636"/>
      <c r="M138" s="636"/>
      <c r="N138" s="636"/>
      <c r="O138" s="636"/>
      <c r="P138" s="636"/>
      <c r="Q138" s="4"/>
    </row>
    <row r="139" spans="1:17" x14ac:dyDescent="0.2">
      <c r="A139" s="2"/>
      <c r="B139" s="2"/>
      <c r="C139" s="3"/>
      <c r="D139" s="4"/>
      <c r="E139" s="4"/>
      <c r="F139" s="4"/>
      <c r="G139" s="4"/>
      <c r="H139" s="4"/>
      <c r="I139" s="4"/>
      <c r="J139" s="4"/>
      <c r="K139" s="4"/>
      <c r="L139" s="4"/>
      <c r="M139" s="4"/>
      <c r="N139" s="4"/>
      <c r="O139" s="4"/>
      <c r="P139" s="4"/>
      <c r="Q139" s="4"/>
    </row>
    <row r="140" spans="1:17" x14ac:dyDescent="0.2">
      <c r="A140" s="2"/>
      <c r="B140" s="2"/>
      <c r="C140" s="3"/>
      <c r="D140" s="4"/>
      <c r="E140" s="4"/>
      <c r="F140" s="4"/>
      <c r="G140" s="4"/>
      <c r="H140" s="4"/>
      <c r="I140" s="4"/>
      <c r="J140" s="4"/>
      <c r="K140" s="4"/>
      <c r="L140" s="4"/>
      <c r="M140" s="4"/>
      <c r="N140" s="4"/>
      <c r="O140" s="4"/>
      <c r="P140" s="4"/>
      <c r="Q140" s="4"/>
    </row>
    <row r="141" spans="1:17" ht="20.100000000000001" customHeight="1" x14ac:dyDescent="0.2">
      <c r="A141" s="2"/>
      <c r="B141" s="2"/>
      <c r="C141" s="3"/>
      <c r="D141" s="4"/>
      <c r="E141" s="629" t="s">
        <v>534</v>
      </c>
      <c r="F141" s="630" t="s">
        <v>2</v>
      </c>
      <c r="G141" s="631"/>
      <c r="H141" s="631"/>
      <c r="I141" s="632"/>
      <c r="J141" s="633" t="s">
        <v>67</v>
      </c>
      <c r="K141" s="634"/>
      <c r="L141" s="634"/>
      <c r="M141" s="634"/>
      <c r="N141" s="634"/>
      <c r="O141" s="634"/>
      <c r="P141" s="635"/>
      <c r="Q141" s="4"/>
    </row>
    <row r="142" spans="1:17" ht="20.100000000000001" customHeight="1" x14ac:dyDescent="0.2">
      <c r="A142" s="2"/>
      <c r="B142" s="2"/>
      <c r="C142" s="3"/>
      <c r="D142" s="4"/>
      <c r="E142" s="629"/>
      <c r="F142" s="630" t="s">
        <v>3</v>
      </c>
      <c r="G142" s="631"/>
      <c r="H142" s="631"/>
      <c r="I142" s="632"/>
      <c r="J142" s="633" t="s">
        <v>1083</v>
      </c>
      <c r="K142" s="634"/>
      <c r="L142" s="634"/>
      <c r="M142" s="634"/>
      <c r="N142" s="634"/>
      <c r="O142" s="634"/>
      <c r="P142" s="635"/>
      <c r="Q142" s="4"/>
    </row>
    <row r="143" spans="1:17" ht="90" customHeight="1" x14ac:dyDescent="0.2">
      <c r="A143" s="2"/>
      <c r="B143" s="2"/>
      <c r="C143" s="3"/>
      <c r="D143" s="4"/>
      <c r="E143" s="4"/>
      <c r="F143" s="642" t="s">
        <v>50</v>
      </c>
      <c r="G143" s="642"/>
      <c r="H143" s="642"/>
      <c r="I143" s="642"/>
      <c r="J143" s="643" t="s">
        <v>950</v>
      </c>
      <c r="K143" s="644"/>
      <c r="L143" s="644"/>
      <c r="M143" s="644"/>
      <c r="N143" s="644"/>
      <c r="O143" s="644"/>
      <c r="P143" s="644"/>
      <c r="Q143" s="4"/>
    </row>
    <row r="144" spans="1:17" x14ac:dyDescent="0.2">
      <c r="A144" s="2"/>
      <c r="B144" s="2"/>
      <c r="C144" s="3"/>
      <c r="D144" s="4"/>
      <c r="E144" s="4"/>
      <c r="F144" s="4"/>
      <c r="G144" s="4"/>
      <c r="H144" s="4"/>
      <c r="I144" s="4"/>
      <c r="J144" s="4"/>
      <c r="K144" s="4"/>
      <c r="L144" s="4"/>
      <c r="M144" s="4"/>
      <c r="N144" s="4"/>
      <c r="O144" s="4"/>
      <c r="P144" s="4"/>
      <c r="Q144" s="4"/>
    </row>
    <row r="145" spans="1:17" ht="15" x14ac:dyDescent="0.2">
      <c r="A145" s="2"/>
      <c r="B145" s="2"/>
      <c r="C145" s="3"/>
      <c r="D145" s="4"/>
      <c r="E145" s="4"/>
      <c r="F145" s="640" t="s">
        <v>20</v>
      </c>
      <c r="G145" s="640"/>
      <c r="H145" s="640"/>
      <c r="I145" s="640"/>
      <c r="J145" s="640"/>
      <c r="K145" s="640"/>
      <c r="L145" s="640"/>
      <c r="M145" s="640"/>
      <c r="N145" s="640"/>
      <c r="O145" s="640"/>
      <c r="P145" s="640"/>
      <c r="Q145" s="4"/>
    </row>
    <row r="146" spans="1:17" ht="9.9499999999999993" customHeight="1" x14ac:dyDescent="0.2">
      <c r="A146" s="2"/>
      <c r="B146" s="2"/>
      <c r="C146" s="3"/>
      <c r="D146" s="4"/>
      <c r="E146" s="4"/>
      <c r="F146" s="4"/>
      <c r="G146" s="4"/>
      <c r="H146" s="4"/>
      <c r="I146" s="4"/>
      <c r="J146" s="4"/>
      <c r="K146" s="4"/>
      <c r="L146" s="4"/>
      <c r="M146" s="4"/>
      <c r="N146" s="4"/>
      <c r="O146" s="4"/>
      <c r="P146" s="4"/>
      <c r="Q146" s="4"/>
    </row>
    <row r="147" spans="1:17" x14ac:dyDescent="0.2">
      <c r="A147" s="2"/>
      <c r="B147" s="2"/>
      <c r="C147" s="3"/>
      <c r="D147" s="4"/>
      <c r="E147" s="4"/>
      <c r="F147" s="17" t="s">
        <v>1050</v>
      </c>
      <c r="G147" s="4"/>
      <c r="H147" s="4"/>
      <c r="I147" s="4"/>
      <c r="J147" s="4"/>
      <c r="K147" s="4"/>
      <c r="L147" s="4"/>
      <c r="M147" s="4"/>
      <c r="N147" s="4"/>
      <c r="O147" s="607" t="s">
        <v>96</v>
      </c>
      <c r="P147" s="608"/>
      <c r="Q147" s="4"/>
    </row>
    <row r="148" spans="1:17" x14ac:dyDescent="0.2">
      <c r="A148" s="2"/>
      <c r="B148" s="2"/>
      <c r="C148" s="3"/>
      <c r="D148" s="4"/>
      <c r="E148" s="4"/>
      <c r="F148" s="17" t="s">
        <v>1001</v>
      </c>
      <c r="G148" s="4"/>
      <c r="H148" s="4"/>
      <c r="I148" s="4"/>
      <c r="J148" s="4"/>
      <c r="K148" s="4"/>
      <c r="L148" s="4"/>
      <c r="M148" s="4"/>
      <c r="N148" s="4"/>
      <c r="O148" s="536">
        <v>5</v>
      </c>
      <c r="P148" s="324" t="s">
        <v>1000</v>
      </c>
      <c r="Q148" s="4"/>
    </row>
    <row r="149" spans="1:17" x14ac:dyDescent="0.2">
      <c r="A149" s="2"/>
      <c r="B149" s="2"/>
      <c r="C149" s="3"/>
      <c r="D149" s="4"/>
      <c r="E149" s="4"/>
      <c r="F149" s="17" t="s">
        <v>1002</v>
      </c>
      <c r="G149" s="4"/>
      <c r="H149" s="4"/>
      <c r="I149" s="4"/>
      <c r="J149" s="4"/>
      <c r="K149" s="4"/>
      <c r="L149" s="4"/>
      <c r="M149" s="4"/>
      <c r="N149" s="4"/>
      <c r="O149" s="607" t="s">
        <v>100</v>
      </c>
      <c r="P149" s="608"/>
      <c r="Q149" s="4"/>
    </row>
    <row r="150" spans="1:17" x14ac:dyDescent="0.2">
      <c r="A150" s="2"/>
      <c r="B150" s="2"/>
      <c r="C150" s="3"/>
      <c r="D150" s="4"/>
      <c r="E150" s="4"/>
      <c r="F150" s="4"/>
      <c r="G150" s="4"/>
      <c r="H150" s="4"/>
      <c r="I150" s="4"/>
      <c r="J150" s="4"/>
      <c r="K150" s="4"/>
      <c r="L150" s="4"/>
      <c r="M150" s="4"/>
      <c r="N150" s="4"/>
      <c r="O150" s="4"/>
      <c r="P150" s="4"/>
      <c r="Q150" s="4"/>
    </row>
    <row r="151" spans="1:17" ht="15" x14ac:dyDescent="0.2">
      <c r="A151" s="2"/>
      <c r="B151" s="2"/>
      <c r="C151" s="3"/>
      <c r="D151" s="4"/>
      <c r="E151" s="4"/>
      <c r="F151" s="640" t="s">
        <v>36</v>
      </c>
      <c r="G151" s="640"/>
      <c r="H151" s="640"/>
      <c r="I151" s="640"/>
      <c r="J151" s="640"/>
      <c r="K151" s="640"/>
      <c r="L151" s="640"/>
      <c r="M151" s="640"/>
      <c r="N151" s="640"/>
      <c r="O151" s="640"/>
      <c r="P151" s="640"/>
      <c r="Q151" s="4"/>
    </row>
    <row r="152" spans="1:17" ht="9.9499999999999993" customHeight="1" x14ac:dyDescent="0.2">
      <c r="A152" s="2"/>
      <c r="B152" s="2"/>
      <c r="C152" s="3"/>
      <c r="D152" s="4"/>
      <c r="E152" s="4"/>
      <c r="F152" s="4"/>
      <c r="G152" s="4"/>
      <c r="H152" s="4"/>
      <c r="I152" s="4"/>
      <c r="J152" s="4"/>
      <c r="K152" s="4"/>
      <c r="L152" s="4"/>
      <c r="M152" s="4"/>
      <c r="N152" s="4"/>
      <c r="O152" s="493"/>
      <c r="P152" s="4"/>
      <c r="Q152" s="4"/>
    </row>
    <row r="153" spans="1:17" x14ac:dyDescent="0.2">
      <c r="A153" s="2"/>
      <c r="B153" s="2"/>
      <c r="C153" s="3"/>
      <c r="D153" s="4"/>
      <c r="E153" s="4"/>
      <c r="F153" s="17" t="s">
        <v>110</v>
      </c>
      <c r="G153" s="4"/>
      <c r="H153" s="4"/>
      <c r="I153" s="4"/>
      <c r="J153" s="4"/>
      <c r="K153" s="4"/>
      <c r="L153" s="4"/>
      <c r="M153" s="4"/>
      <c r="N153" s="4"/>
      <c r="O153" s="492">
        <f>Datos_energia!D114</f>
        <v>474.5</v>
      </c>
      <c r="P153" s="324" t="s">
        <v>111</v>
      </c>
      <c r="Q153" s="4"/>
    </row>
    <row r="154" spans="1:17" x14ac:dyDescent="0.2">
      <c r="A154" s="2"/>
      <c r="B154" s="2"/>
      <c r="C154" s="3"/>
      <c r="D154" s="4"/>
      <c r="E154" s="4"/>
      <c r="F154" s="17" t="s">
        <v>109</v>
      </c>
      <c r="G154" s="4"/>
      <c r="H154" s="4"/>
      <c r="I154" s="4"/>
      <c r="J154" s="4"/>
      <c r="K154" s="4"/>
      <c r="L154" s="4"/>
      <c r="M154" s="4"/>
      <c r="N154" s="4"/>
      <c r="O154" s="492">
        <f>Datos_energia!D115</f>
        <v>2847</v>
      </c>
      <c r="P154" s="324" t="s">
        <v>112</v>
      </c>
      <c r="Q154" s="4"/>
    </row>
    <row r="155" spans="1:17" ht="14.25" customHeight="1" x14ac:dyDescent="0.2">
      <c r="A155" s="2"/>
      <c r="B155" s="2"/>
      <c r="C155" s="3"/>
      <c r="D155" s="4"/>
      <c r="E155" s="4"/>
      <c r="F155" s="17" t="s">
        <v>1049</v>
      </c>
      <c r="G155" s="4"/>
      <c r="H155" s="4"/>
      <c r="I155" s="4"/>
      <c r="J155" s="4"/>
      <c r="K155" s="4"/>
      <c r="L155" s="4"/>
      <c r="M155" s="4"/>
      <c r="N155" s="4"/>
      <c r="O155" s="492">
        <f>Datos_energia!D116</f>
        <v>0.80854799999999993</v>
      </c>
      <c r="P155" s="324" t="s">
        <v>39</v>
      </c>
      <c r="Q155" s="4"/>
    </row>
    <row r="156" spans="1:17" ht="15" thickBot="1" x14ac:dyDescent="0.25">
      <c r="A156" s="2"/>
      <c r="B156" s="2"/>
      <c r="C156" s="3"/>
      <c r="D156" s="4"/>
      <c r="E156" s="4"/>
      <c r="F156" s="4"/>
      <c r="G156" s="4"/>
      <c r="H156" s="4"/>
      <c r="I156" s="4"/>
      <c r="J156" s="4"/>
      <c r="K156" s="4"/>
      <c r="L156" s="4"/>
      <c r="M156" s="4"/>
      <c r="N156" s="4"/>
      <c r="O156" s="4"/>
      <c r="P156" s="4"/>
      <c r="Q156" s="4"/>
    </row>
    <row r="157" spans="1:17" x14ac:dyDescent="0.2">
      <c r="A157" s="2"/>
      <c r="B157" s="2"/>
      <c r="C157" s="3"/>
      <c r="D157" s="4"/>
      <c r="E157" s="4"/>
      <c r="F157" s="418"/>
      <c r="G157" s="419"/>
      <c r="H157" s="419"/>
      <c r="I157" s="419"/>
      <c r="J157" s="420"/>
      <c r="K157" s="4"/>
      <c r="L157" s="4"/>
      <c r="M157" s="4"/>
      <c r="N157" s="4"/>
      <c r="O157" s="4"/>
      <c r="P157" s="4"/>
      <c r="Q157" s="4"/>
    </row>
    <row r="158" spans="1:17" ht="14.1" customHeight="1" x14ac:dyDescent="0.2">
      <c r="A158" s="2"/>
      <c r="B158" s="2"/>
      <c r="C158" s="3"/>
      <c r="D158" s="4"/>
      <c r="E158" s="4"/>
      <c r="F158" s="421"/>
      <c r="G158" s="415"/>
      <c r="H158" s="415"/>
      <c r="I158" s="560" t="s">
        <v>689</v>
      </c>
      <c r="J158" s="638"/>
      <c r="K158" s="4"/>
      <c r="L158" s="4"/>
      <c r="M158" s="4"/>
      <c r="N158" s="4"/>
      <c r="O158" s="4"/>
      <c r="P158" s="4"/>
      <c r="Q158" s="4"/>
    </row>
    <row r="159" spans="1:17" x14ac:dyDescent="0.2">
      <c r="A159" s="2"/>
      <c r="B159" s="2"/>
      <c r="C159" s="3"/>
      <c r="D159" s="4"/>
      <c r="E159" s="4"/>
      <c r="F159" s="421"/>
      <c r="G159" s="415"/>
      <c r="H159" s="415"/>
      <c r="I159" s="560"/>
      <c r="J159" s="638"/>
      <c r="K159" s="4"/>
      <c r="L159" s="4"/>
      <c r="M159" s="4"/>
      <c r="N159" s="4"/>
      <c r="O159" s="4"/>
      <c r="P159" s="4"/>
      <c r="Q159" s="4"/>
    </row>
    <row r="160" spans="1:17" x14ac:dyDescent="0.2">
      <c r="A160" s="2"/>
      <c r="B160" s="2"/>
      <c r="C160" s="3"/>
      <c r="D160" s="4"/>
      <c r="E160" s="4"/>
      <c r="F160" s="421"/>
      <c r="G160" s="415"/>
      <c r="H160" s="415"/>
      <c r="I160" s="415"/>
      <c r="J160" s="426"/>
      <c r="K160" s="4"/>
      <c r="L160" s="4"/>
      <c r="M160" s="4"/>
      <c r="N160" s="4"/>
      <c r="O160" s="4"/>
      <c r="P160" s="4"/>
      <c r="Q160" s="4"/>
    </row>
    <row r="161" spans="1:17" ht="14.1" customHeight="1" x14ac:dyDescent="0.2">
      <c r="A161" s="2"/>
      <c r="B161" s="2"/>
      <c r="C161" s="3"/>
      <c r="D161" s="4"/>
      <c r="E161" s="4"/>
      <c r="F161" s="421"/>
      <c r="G161" s="415"/>
      <c r="H161" s="415"/>
      <c r="I161" s="641">
        <f>ROUND(16.4*$O$155,0)</f>
        <v>13</v>
      </c>
      <c r="J161" s="639" t="s">
        <v>690</v>
      </c>
      <c r="K161" s="4"/>
      <c r="L161" s="4"/>
      <c r="M161" s="4"/>
      <c r="N161" s="4"/>
      <c r="O161" s="4"/>
      <c r="P161" s="4"/>
      <c r="Q161" s="4"/>
    </row>
    <row r="162" spans="1:17" x14ac:dyDescent="0.2">
      <c r="A162" s="2"/>
      <c r="B162" s="2"/>
      <c r="C162" s="3"/>
      <c r="D162" s="4"/>
      <c r="E162" s="4"/>
      <c r="F162" s="421"/>
      <c r="G162" s="415"/>
      <c r="H162" s="415"/>
      <c r="I162" s="641"/>
      <c r="J162" s="639"/>
      <c r="K162" s="4"/>
      <c r="L162" s="4"/>
      <c r="M162" s="4"/>
      <c r="N162" s="4"/>
      <c r="O162" s="4"/>
      <c r="P162" s="4"/>
      <c r="Q162" s="4"/>
    </row>
    <row r="163" spans="1:17" ht="15" thickBot="1" x14ac:dyDescent="0.25">
      <c r="A163" s="2"/>
      <c r="B163" s="2"/>
      <c r="C163" s="3"/>
      <c r="D163" s="4"/>
      <c r="E163" s="4"/>
      <c r="F163" s="423"/>
      <c r="G163" s="424"/>
      <c r="H163" s="424"/>
      <c r="I163" s="424"/>
      <c r="J163" s="425"/>
      <c r="K163" s="4"/>
      <c r="L163" s="4"/>
      <c r="M163" s="4"/>
      <c r="N163" s="4"/>
      <c r="O163" s="4"/>
      <c r="P163" s="4"/>
      <c r="Q163" s="4"/>
    </row>
    <row r="164" spans="1:17" x14ac:dyDescent="0.2">
      <c r="A164" s="2"/>
      <c r="B164" s="2"/>
      <c r="C164" s="3"/>
      <c r="D164" s="4"/>
      <c r="E164" s="4"/>
      <c r="F164" s="4"/>
      <c r="G164" s="4"/>
      <c r="H164" s="4"/>
      <c r="I164" s="4"/>
      <c r="J164" s="4"/>
      <c r="K164" s="4"/>
      <c r="L164" s="4"/>
      <c r="M164" s="4"/>
      <c r="N164" s="4"/>
      <c r="O164" s="4"/>
      <c r="P164" s="4"/>
      <c r="Q164" s="4"/>
    </row>
    <row r="165" spans="1:17" x14ac:dyDescent="0.2">
      <c r="A165" s="2"/>
      <c r="B165" s="2"/>
      <c r="C165" s="3"/>
      <c r="D165" s="4"/>
      <c r="E165" s="4"/>
      <c r="F165" s="4"/>
      <c r="G165" s="4"/>
      <c r="H165" s="4"/>
      <c r="I165" s="4"/>
      <c r="J165" s="4"/>
      <c r="K165" s="4"/>
      <c r="L165" s="4"/>
      <c r="M165" s="4"/>
      <c r="N165" s="4"/>
      <c r="O165" s="4"/>
      <c r="P165" s="4"/>
      <c r="Q165" s="4"/>
    </row>
    <row r="166" spans="1:17" ht="20.100000000000001" customHeight="1" x14ac:dyDescent="0.2">
      <c r="A166" s="2"/>
      <c r="B166" s="2"/>
      <c r="C166" s="3"/>
      <c r="D166" s="4"/>
      <c r="E166" s="629" t="s">
        <v>711</v>
      </c>
      <c r="F166" s="630" t="s">
        <v>2</v>
      </c>
      <c r="G166" s="631"/>
      <c r="H166" s="631"/>
      <c r="I166" s="632"/>
      <c r="J166" s="633" t="s">
        <v>712</v>
      </c>
      <c r="K166" s="634"/>
      <c r="L166" s="634"/>
      <c r="M166" s="634"/>
      <c r="N166" s="634"/>
      <c r="O166" s="634"/>
      <c r="P166" s="635"/>
      <c r="Q166" s="4"/>
    </row>
    <row r="167" spans="1:17" ht="20.100000000000001" customHeight="1" x14ac:dyDescent="0.2">
      <c r="A167" s="2"/>
      <c r="B167" s="2"/>
      <c r="C167" s="3"/>
      <c r="D167" s="4"/>
      <c r="E167" s="629"/>
      <c r="F167" s="630" t="s">
        <v>3</v>
      </c>
      <c r="G167" s="631"/>
      <c r="H167" s="631"/>
      <c r="I167" s="632"/>
      <c r="J167" s="633" t="s">
        <v>1083</v>
      </c>
      <c r="K167" s="634"/>
      <c r="L167" s="634"/>
      <c r="M167" s="634"/>
      <c r="N167" s="634"/>
      <c r="O167" s="634"/>
      <c r="P167" s="635"/>
      <c r="Q167" s="4"/>
    </row>
    <row r="168" spans="1:17" ht="50.1" customHeight="1" x14ac:dyDescent="0.2">
      <c r="A168" s="2"/>
      <c r="B168" s="2"/>
      <c r="C168" s="3"/>
      <c r="D168" s="4"/>
      <c r="E168" s="4"/>
      <c r="F168" s="642" t="s">
        <v>50</v>
      </c>
      <c r="G168" s="642"/>
      <c r="H168" s="642"/>
      <c r="I168" s="642"/>
      <c r="J168" s="643" t="s">
        <v>951</v>
      </c>
      <c r="K168" s="644"/>
      <c r="L168" s="644"/>
      <c r="M168" s="644"/>
      <c r="N168" s="644"/>
      <c r="O168" s="644"/>
      <c r="P168" s="644"/>
      <c r="Q168" s="4"/>
    </row>
    <row r="169" spans="1:17" x14ac:dyDescent="0.2">
      <c r="A169" s="2"/>
      <c r="B169" s="2"/>
      <c r="C169" s="3"/>
      <c r="D169" s="4"/>
      <c r="E169" s="4"/>
      <c r="F169" s="4"/>
      <c r="G169" s="4"/>
      <c r="H169" s="4"/>
      <c r="I169" s="4"/>
      <c r="J169" s="4"/>
      <c r="K169" s="4"/>
      <c r="L169" s="4"/>
      <c r="M169" s="4"/>
      <c r="N169" s="4"/>
      <c r="O169" s="4"/>
      <c r="P169" s="4"/>
      <c r="Q169" s="4"/>
    </row>
    <row r="170" spans="1:17" ht="15" x14ac:dyDescent="0.2">
      <c r="A170" s="2"/>
      <c r="B170" s="2"/>
      <c r="C170" s="3"/>
      <c r="D170" s="4"/>
      <c r="E170" s="4"/>
      <c r="F170" s="640" t="s">
        <v>20</v>
      </c>
      <c r="G170" s="640"/>
      <c r="H170" s="640"/>
      <c r="I170" s="640"/>
      <c r="J170" s="640"/>
      <c r="K170" s="640"/>
      <c r="L170" s="640"/>
      <c r="M170" s="640"/>
      <c r="N170" s="640"/>
      <c r="O170" s="640"/>
      <c r="P170" s="640"/>
      <c r="Q170" s="4"/>
    </row>
    <row r="171" spans="1:17" ht="9.9499999999999993" customHeight="1" x14ac:dyDescent="0.2">
      <c r="A171" s="2"/>
      <c r="B171" s="2"/>
      <c r="C171" s="3"/>
      <c r="D171" s="4"/>
      <c r="E171" s="4"/>
      <c r="F171" s="4"/>
      <c r="G171" s="4"/>
      <c r="H171" s="4"/>
      <c r="I171" s="4"/>
      <c r="J171" s="4"/>
      <c r="K171" s="4"/>
      <c r="L171" s="4"/>
      <c r="M171" s="4"/>
      <c r="N171" s="4"/>
      <c r="O171" s="4"/>
      <c r="P171" s="4"/>
      <c r="Q171" s="4"/>
    </row>
    <row r="172" spans="1:17" x14ac:dyDescent="0.2">
      <c r="A172" s="2"/>
      <c r="B172" s="2"/>
      <c r="C172" s="3"/>
      <c r="D172" s="4"/>
      <c r="E172" s="4"/>
      <c r="F172" s="17" t="s">
        <v>1003</v>
      </c>
      <c r="G172" s="17"/>
      <c r="H172" s="4"/>
      <c r="I172" s="4"/>
      <c r="J172" s="4"/>
      <c r="K172" s="4"/>
      <c r="L172" s="4"/>
      <c r="M172" s="4"/>
      <c r="N172" s="4"/>
      <c r="O172" s="537">
        <v>200</v>
      </c>
      <c r="P172" s="337" t="s">
        <v>731</v>
      </c>
      <c r="Q172" s="4"/>
    </row>
    <row r="173" spans="1:17" x14ac:dyDescent="0.2">
      <c r="A173" s="2"/>
      <c r="B173" s="2"/>
      <c r="C173" s="3"/>
      <c r="D173" s="4"/>
      <c r="E173" s="4"/>
      <c r="F173" s="17" t="s">
        <v>1051</v>
      </c>
      <c r="G173" s="17"/>
      <c r="H173" s="4"/>
      <c r="I173" s="4"/>
      <c r="J173" s="4"/>
      <c r="K173" s="4"/>
      <c r="L173" s="4"/>
      <c r="M173" s="4"/>
      <c r="N173" s="4"/>
      <c r="O173" s="602" t="s">
        <v>724</v>
      </c>
      <c r="P173" s="587"/>
      <c r="Q173" s="4"/>
    </row>
    <row r="174" spans="1:17" x14ac:dyDescent="0.2">
      <c r="A174" s="2"/>
      <c r="B174" s="2"/>
      <c r="C174" s="3"/>
      <c r="D174" s="4"/>
      <c r="E174" s="4"/>
      <c r="F174" s="4"/>
      <c r="G174" s="4"/>
      <c r="H174" s="4"/>
      <c r="I174" s="4"/>
      <c r="J174" s="57"/>
      <c r="K174" s="4"/>
      <c r="L174" s="4"/>
      <c r="M174" s="4"/>
      <c r="N174" s="4"/>
      <c r="O174" s="4"/>
      <c r="P174" s="4"/>
      <c r="Q174" s="4"/>
    </row>
    <row r="175" spans="1:17" ht="15" x14ac:dyDescent="0.2">
      <c r="A175" s="2"/>
      <c r="B175" s="2"/>
      <c r="C175" s="3"/>
      <c r="D175" s="4"/>
      <c r="E175" s="4"/>
      <c r="F175" s="640" t="s">
        <v>36</v>
      </c>
      <c r="G175" s="640"/>
      <c r="H175" s="640"/>
      <c r="I175" s="640"/>
      <c r="J175" s="640"/>
      <c r="K175" s="640"/>
      <c r="L175" s="640"/>
      <c r="M175" s="640"/>
      <c r="N175" s="640"/>
      <c r="O175" s="640"/>
      <c r="P175" s="640"/>
      <c r="Q175" s="4"/>
    </row>
    <row r="176" spans="1:17" ht="9.9499999999999993" customHeight="1" x14ac:dyDescent="0.2">
      <c r="A176" s="2"/>
      <c r="B176" s="2"/>
      <c r="C176" s="3"/>
      <c r="D176" s="4"/>
      <c r="E176" s="4"/>
      <c r="F176" s="4"/>
      <c r="G176" s="4"/>
      <c r="H176" s="4"/>
      <c r="I176" s="4"/>
      <c r="J176" s="4"/>
      <c r="K176" s="4"/>
      <c r="L176" s="4"/>
      <c r="M176" s="4"/>
      <c r="N176" s="4"/>
      <c r="O176" s="4"/>
      <c r="P176" s="4"/>
      <c r="Q176" s="4"/>
    </row>
    <row r="177" spans="1:17" x14ac:dyDescent="0.2">
      <c r="A177" s="2"/>
      <c r="B177" s="2"/>
      <c r="C177" s="3"/>
      <c r="D177" s="4"/>
      <c r="E177" s="4"/>
      <c r="F177" s="17" t="s">
        <v>40</v>
      </c>
      <c r="G177" s="17"/>
      <c r="H177" s="17"/>
      <c r="I177" s="19">
        <f>Datos_energia!H155</f>
        <v>1.1124424938271606</v>
      </c>
      <c r="J177" s="324" t="s">
        <v>39</v>
      </c>
      <c r="K177" s="4"/>
      <c r="L177" s="4"/>
      <c r="M177" s="4"/>
      <c r="N177" s="4"/>
      <c r="O177" s="4"/>
      <c r="P177" s="4"/>
      <c r="Q177" s="4"/>
    </row>
    <row r="178" spans="1:17" ht="15" thickBot="1" x14ac:dyDescent="0.25">
      <c r="A178" s="2"/>
      <c r="B178" s="2"/>
      <c r="C178" s="3"/>
      <c r="D178" s="4"/>
      <c r="E178" s="4"/>
      <c r="F178" s="4"/>
      <c r="G178" s="4"/>
      <c r="H178" s="4"/>
      <c r="I178" s="4"/>
      <c r="J178" s="4"/>
      <c r="K178" s="4"/>
      <c r="L178" s="4"/>
      <c r="M178" s="4"/>
      <c r="N178" s="4"/>
      <c r="O178" s="4"/>
      <c r="P178" s="4"/>
      <c r="Q178" s="4"/>
    </row>
    <row r="179" spans="1:17" x14ac:dyDescent="0.2">
      <c r="A179" s="2"/>
      <c r="B179" s="2"/>
      <c r="C179" s="3"/>
      <c r="D179" s="4"/>
      <c r="E179" s="4"/>
      <c r="F179" s="418"/>
      <c r="G179" s="419"/>
      <c r="H179" s="419"/>
      <c r="I179" s="419"/>
      <c r="J179" s="420"/>
      <c r="K179" s="4"/>
      <c r="L179" s="4"/>
      <c r="M179" s="4"/>
      <c r="N179" s="4"/>
      <c r="O179" s="4"/>
      <c r="P179" s="4"/>
      <c r="Q179" s="4"/>
    </row>
    <row r="180" spans="1:17" x14ac:dyDescent="0.2">
      <c r="A180" s="2"/>
      <c r="B180" s="2"/>
      <c r="C180" s="3"/>
      <c r="D180" s="4"/>
      <c r="E180" s="4"/>
      <c r="F180" s="421"/>
      <c r="G180" s="415"/>
      <c r="H180" s="415"/>
      <c r="I180" s="560" t="s">
        <v>689</v>
      </c>
      <c r="J180" s="638"/>
      <c r="K180" s="4"/>
      <c r="L180" s="4"/>
      <c r="M180" s="4"/>
      <c r="N180" s="4"/>
      <c r="O180" s="4"/>
      <c r="P180" s="4"/>
      <c r="Q180" s="4"/>
    </row>
    <row r="181" spans="1:17" x14ac:dyDescent="0.2">
      <c r="A181" s="2"/>
      <c r="B181" s="2"/>
      <c r="C181" s="3"/>
      <c r="D181" s="4"/>
      <c r="E181" s="4"/>
      <c r="F181" s="421"/>
      <c r="G181" s="415"/>
      <c r="H181" s="415"/>
      <c r="I181" s="560"/>
      <c r="J181" s="638"/>
      <c r="K181" s="4"/>
      <c r="L181" s="4"/>
      <c r="M181" s="4"/>
      <c r="N181" s="4"/>
      <c r="O181" s="4"/>
      <c r="P181" s="4"/>
      <c r="Q181" s="4"/>
    </row>
    <row r="182" spans="1:17" x14ac:dyDescent="0.2">
      <c r="A182" s="2"/>
      <c r="B182" s="2"/>
      <c r="C182" s="3"/>
      <c r="D182" s="4"/>
      <c r="E182" s="4"/>
      <c r="F182" s="421"/>
      <c r="G182" s="415"/>
      <c r="H182" s="415"/>
      <c r="I182" s="417"/>
      <c r="J182" s="422"/>
      <c r="K182" s="4"/>
      <c r="L182" s="4"/>
      <c r="M182" s="4"/>
      <c r="N182" s="4"/>
      <c r="O182" s="4"/>
      <c r="P182" s="4"/>
      <c r="Q182" s="4"/>
    </row>
    <row r="183" spans="1:17" x14ac:dyDescent="0.2">
      <c r="A183" s="2"/>
      <c r="B183" s="2"/>
      <c r="C183" s="3"/>
      <c r="D183" s="4"/>
      <c r="E183" s="4"/>
      <c r="F183" s="421"/>
      <c r="G183" s="415"/>
      <c r="H183" s="415"/>
      <c r="I183" s="641">
        <f>ROUND(16.4*$I$177,0)</f>
        <v>18</v>
      </c>
      <c r="J183" s="639" t="s">
        <v>690</v>
      </c>
      <c r="K183" s="4"/>
      <c r="L183" s="4"/>
      <c r="M183" s="4"/>
      <c r="N183" s="4"/>
      <c r="O183" s="4"/>
      <c r="P183" s="4"/>
      <c r="Q183" s="4"/>
    </row>
    <row r="184" spans="1:17" x14ac:dyDescent="0.2">
      <c r="A184" s="2"/>
      <c r="B184" s="2"/>
      <c r="C184" s="3"/>
      <c r="D184" s="4"/>
      <c r="E184" s="4"/>
      <c r="F184" s="421"/>
      <c r="G184" s="415"/>
      <c r="H184" s="415"/>
      <c r="I184" s="641"/>
      <c r="J184" s="639"/>
      <c r="K184" s="4"/>
      <c r="L184" s="4"/>
      <c r="M184" s="4"/>
      <c r="N184" s="4"/>
      <c r="O184" s="4"/>
      <c r="P184" s="4"/>
      <c r="Q184" s="4"/>
    </row>
    <row r="185" spans="1:17" ht="15" thickBot="1" x14ac:dyDescent="0.25">
      <c r="A185" s="2"/>
      <c r="B185" s="2"/>
      <c r="C185" s="3"/>
      <c r="D185" s="4"/>
      <c r="E185" s="4"/>
      <c r="F185" s="423"/>
      <c r="G185" s="424"/>
      <c r="H185" s="424"/>
      <c r="I185" s="424"/>
      <c r="J185" s="425"/>
      <c r="K185" s="4"/>
      <c r="L185" s="4"/>
      <c r="M185" s="4"/>
      <c r="N185" s="4"/>
      <c r="O185" s="4"/>
      <c r="P185" s="4"/>
      <c r="Q185" s="4"/>
    </row>
    <row r="186" spans="1:17" x14ac:dyDescent="0.2">
      <c r="A186" s="2"/>
      <c r="B186" s="2"/>
      <c r="C186" s="3"/>
      <c r="D186" s="4"/>
      <c r="E186" s="4"/>
      <c r="F186" s="4"/>
      <c r="G186" s="4"/>
      <c r="H186" s="4"/>
      <c r="I186" s="4"/>
      <c r="J186" s="4"/>
      <c r="K186" s="4"/>
      <c r="L186" s="4"/>
      <c r="M186" s="4"/>
      <c r="N186" s="4"/>
      <c r="O186" s="4"/>
      <c r="P186" s="4"/>
      <c r="Q186" s="4"/>
    </row>
    <row r="187" spans="1:17" ht="20.100000000000001" customHeight="1" x14ac:dyDescent="0.2">
      <c r="A187" s="2"/>
      <c r="B187" s="2"/>
      <c r="C187" s="3"/>
      <c r="D187" s="4"/>
      <c r="E187" s="4"/>
      <c r="F187" s="636" t="s">
        <v>1099</v>
      </c>
      <c r="G187" s="636"/>
      <c r="H187" s="636"/>
      <c r="I187" s="636"/>
      <c r="J187" s="636"/>
      <c r="K187" s="636"/>
      <c r="L187" s="636"/>
      <c r="M187" s="636"/>
      <c r="N187" s="636"/>
      <c r="O187" s="636"/>
      <c r="P187" s="636"/>
      <c r="Q187" s="4"/>
    </row>
    <row r="188" spans="1:17" x14ac:dyDescent="0.2">
      <c r="A188" s="2"/>
      <c r="B188" s="2"/>
      <c r="C188" s="3"/>
      <c r="D188" s="4"/>
      <c r="E188" s="4"/>
      <c r="F188" s="4"/>
      <c r="G188" s="4"/>
      <c r="H188" s="4"/>
      <c r="I188" s="4"/>
      <c r="J188" s="4"/>
      <c r="K188" s="4"/>
      <c r="L188" s="4"/>
      <c r="M188" s="4"/>
      <c r="N188" s="4"/>
      <c r="O188" s="4"/>
      <c r="P188" s="4"/>
      <c r="Q188" s="4"/>
    </row>
    <row r="189" spans="1:17" x14ac:dyDescent="0.2">
      <c r="A189" s="2"/>
      <c r="B189" s="2"/>
      <c r="C189" s="3"/>
      <c r="D189" s="4"/>
      <c r="E189" s="4"/>
      <c r="F189" s="4"/>
      <c r="G189" s="4"/>
      <c r="H189" s="4"/>
      <c r="I189" s="4"/>
      <c r="J189" s="4"/>
      <c r="K189" s="4"/>
      <c r="L189" s="4"/>
      <c r="M189" s="4"/>
      <c r="N189" s="4"/>
      <c r="O189" s="4"/>
      <c r="P189" s="4"/>
      <c r="Q189" s="4"/>
    </row>
    <row r="190" spans="1:17" ht="20.100000000000001" customHeight="1" x14ac:dyDescent="0.2">
      <c r="A190" s="2"/>
      <c r="B190" s="2"/>
      <c r="C190" s="3"/>
      <c r="D190" s="4"/>
      <c r="E190" s="629" t="s">
        <v>732</v>
      </c>
      <c r="F190" s="630" t="s">
        <v>2</v>
      </c>
      <c r="G190" s="631"/>
      <c r="H190" s="631"/>
      <c r="I190" s="632"/>
      <c r="J190" s="633" t="s">
        <v>733</v>
      </c>
      <c r="K190" s="634"/>
      <c r="L190" s="634"/>
      <c r="M190" s="634"/>
      <c r="N190" s="634"/>
      <c r="O190" s="634"/>
      <c r="P190" s="635"/>
      <c r="Q190" s="4"/>
    </row>
    <row r="191" spans="1:17" ht="20.100000000000001" customHeight="1" x14ac:dyDescent="0.2">
      <c r="A191" s="2"/>
      <c r="B191" s="2"/>
      <c r="C191" s="3"/>
      <c r="D191" s="4"/>
      <c r="E191" s="629"/>
      <c r="F191" s="630" t="s">
        <v>3</v>
      </c>
      <c r="G191" s="631"/>
      <c r="H191" s="631"/>
      <c r="I191" s="632"/>
      <c r="J191" s="633" t="s">
        <v>1083</v>
      </c>
      <c r="K191" s="634"/>
      <c r="L191" s="634"/>
      <c r="M191" s="634"/>
      <c r="N191" s="634"/>
      <c r="O191" s="634"/>
      <c r="P191" s="635"/>
      <c r="Q191" s="4"/>
    </row>
    <row r="192" spans="1:17" ht="20.100000000000001" customHeight="1" x14ac:dyDescent="0.2">
      <c r="A192" s="2"/>
      <c r="B192" s="2"/>
      <c r="C192" s="3"/>
      <c r="D192" s="4"/>
      <c r="E192" s="4"/>
      <c r="F192" s="642" t="s">
        <v>50</v>
      </c>
      <c r="G192" s="642"/>
      <c r="H192" s="642"/>
      <c r="I192" s="642"/>
      <c r="J192" s="643" t="s">
        <v>796</v>
      </c>
      <c r="K192" s="644"/>
      <c r="L192" s="644"/>
      <c r="M192" s="644"/>
      <c r="N192" s="644"/>
      <c r="O192" s="644"/>
      <c r="P192" s="644"/>
      <c r="Q192" s="4"/>
    </row>
    <row r="193" spans="1:17" x14ac:dyDescent="0.2">
      <c r="A193" s="2"/>
      <c r="B193" s="2"/>
      <c r="C193" s="3"/>
      <c r="D193" s="4"/>
      <c r="E193" s="4"/>
      <c r="F193" s="4"/>
      <c r="G193" s="4"/>
      <c r="H193" s="4"/>
      <c r="I193" s="4"/>
      <c r="J193" s="4"/>
      <c r="K193" s="4"/>
      <c r="L193" s="4"/>
      <c r="M193" s="4"/>
      <c r="N193" s="4"/>
      <c r="O193" s="4"/>
      <c r="P193" s="4"/>
      <c r="Q193" s="4"/>
    </row>
    <row r="194" spans="1:17" ht="15" x14ac:dyDescent="0.2">
      <c r="A194" s="2"/>
      <c r="B194" s="2"/>
      <c r="C194" s="3"/>
      <c r="D194" s="4"/>
      <c r="E194" s="4"/>
      <c r="F194" s="640" t="s">
        <v>20</v>
      </c>
      <c r="G194" s="640"/>
      <c r="H194" s="640"/>
      <c r="I194" s="640"/>
      <c r="J194" s="640"/>
      <c r="K194" s="640"/>
      <c r="L194" s="640"/>
      <c r="M194" s="640"/>
      <c r="N194" s="640"/>
      <c r="O194" s="640"/>
      <c r="P194" s="640"/>
      <c r="Q194" s="4"/>
    </row>
    <row r="195" spans="1:17" ht="9.9499999999999993" customHeight="1" x14ac:dyDescent="0.2">
      <c r="A195" s="2"/>
      <c r="B195" s="2"/>
      <c r="C195" s="3"/>
      <c r="D195" s="4"/>
      <c r="E195" s="4"/>
      <c r="F195" s="4"/>
      <c r="G195" s="4"/>
      <c r="H195" s="4"/>
      <c r="I195" s="4"/>
      <c r="J195" s="4"/>
      <c r="K195" s="4"/>
      <c r="L195" s="4"/>
      <c r="M195" s="4"/>
      <c r="N195" s="4"/>
      <c r="O195" s="4"/>
      <c r="P195" s="4"/>
      <c r="Q195" s="4"/>
    </row>
    <row r="196" spans="1:17" x14ac:dyDescent="0.2">
      <c r="A196" s="2"/>
      <c r="B196" s="2"/>
      <c r="C196" s="3"/>
      <c r="D196" s="4"/>
      <c r="E196" s="4"/>
      <c r="F196" s="17" t="s">
        <v>1004</v>
      </c>
      <c r="G196" s="17"/>
      <c r="H196" s="17"/>
      <c r="I196" s="4"/>
      <c r="J196" s="4"/>
      <c r="K196" s="4"/>
      <c r="L196" s="4"/>
      <c r="M196" s="4"/>
      <c r="N196" s="4"/>
      <c r="O196" s="532">
        <v>36</v>
      </c>
      <c r="P196" s="337" t="s">
        <v>738</v>
      </c>
      <c r="Q196" s="4"/>
    </row>
    <row r="197" spans="1:17" ht="14.25" customHeight="1" x14ac:dyDescent="0.2">
      <c r="A197" s="2"/>
      <c r="B197" s="2"/>
      <c r="C197" s="3"/>
      <c r="D197" s="4"/>
      <c r="E197" s="4"/>
      <c r="F197" s="17" t="s">
        <v>1005</v>
      </c>
      <c r="G197" s="380"/>
      <c r="H197" s="429"/>
      <c r="I197" s="4"/>
      <c r="J197" s="4"/>
      <c r="K197" s="4"/>
      <c r="L197" s="4"/>
      <c r="M197" s="4"/>
      <c r="N197" s="4"/>
      <c r="O197" s="537">
        <v>10</v>
      </c>
      <c r="P197" s="337" t="s">
        <v>149</v>
      </c>
      <c r="Q197" s="4"/>
    </row>
    <row r="198" spans="1:17" x14ac:dyDescent="0.2">
      <c r="A198" s="2"/>
      <c r="B198" s="2"/>
      <c r="C198" s="3"/>
      <c r="D198" s="4"/>
      <c r="E198" s="4"/>
      <c r="F198" s="17" t="s">
        <v>1006</v>
      </c>
      <c r="G198" s="17"/>
      <c r="H198" s="17"/>
      <c r="I198" s="4"/>
      <c r="J198" s="4"/>
      <c r="K198" s="4"/>
      <c r="L198" s="4"/>
      <c r="M198" s="4"/>
      <c r="N198" s="4"/>
      <c r="O198" s="532">
        <v>95</v>
      </c>
      <c r="P198" s="324" t="s">
        <v>298</v>
      </c>
      <c r="Q198" s="4"/>
    </row>
    <row r="199" spans="1:17" x14ac:dyDescent="0.2">
      <c r="A199" s="2"/>
      <c r="B199" s="2"/>
      <c r="C199" s="3"/>
      <c r="D199" s="4"/>
      <c r="E199" s="4"/>
      <c r="F199" s="17" t="s">
        <v>1007</v>
      </c>
      <c r="G199" s="17"/>
      <c r="H199" s="17"/>
      <c r="I199" s="4"/>
      <c r="J199" s="4"/>
      <c r="K199" s="4"/>
      <c r="L199" s="4"/>
      <c r="M199" s="4"/>
      <c r="N199" s="4"/>
      <c r="O199" s="532">
        <v>30</v>
      </c>
      <c r="P199" s="324" t="s">
        <v>298</v>
      </c>
      <c r="Q199" s="4"/>
    </row>
    <row r="200" spans="1:17" ht="14.25" customHeight="1" x14ac:dyDescent="0.2">
      <c r="A200" s="2"/>
      <c r="B200" s="2"/>
      <c r="C200" s="3"/>
      <c r="D200" s="4"/>
      <c r="E200" s="4"/>
      <c r="F200" s="17" t="s">
        <v>1008</v>
      </c>
      <c r="G200" s="17"/>
      <c r="H200" s="17"/>
      <c r="I200" s="4"/>
      <c r="J200" s="4"/>
      <c r="K200" s="4"/>
      <c r="L200" s="4"/>
      <c r="M200" s="4"/>
      <c r="N200" s="4"/>
      <c r="O200" s="532">
        <v>4.18</v>
      </c>
      <c r="P200" s="324" t="s">
        <v>745</v>
      </c>
      <c r="Q200" s="4"/>
    </row>
    <row r="201" spans="1:17" x14ac:dyDescent="0.2">
      <c r="A201" s="2"/>
      <c r="B201" s="2"/>
      <c r="C201" s="3"/>
      <c r="D201" s="4"/>
      <c r="E201" s="4"/>
      <c r="F201" s="17" t="s">
        <v>1009</v>
      </c>
      <c r="G201" s="17"/>
      <c r="H201" s="17"/>
      <c r="I201" s="4"/>
      <c r="J201" s="4"/>
      <c r="K201" s="4"/>
      <c r="L201" s="4"/>
      <c r="M201" s="4"/>
      <c r="N201" s="4"/>
      <c r="O201" s="602" t="s">
        <v>669</v>
      </c>
      <c r="P201" s="587"/>
      <c r="Q201" s="4"/>
    </row>
    <row r="202" spans="1:17" x14ac:dyDescent="0.2">
      <c r="A202" s="2"/>
      <c r="B202" s="2"/>
      <c r="C202" s="3"/>
      <c r="D202" s="4"/>
      <c r="E202" s="4"/>
      <c r="F202" s="17" t="s">
        <v>1010</v>
      </c>
      <c r="G202" s="17"/>
      <c r="H202" s="17"/>
      <c r="I202" s="4"/>
      <c r="J202" s="4"/>
      <c r="K202" s="4"/>
      <c r="L202" s="4"/>
      <c r="M202" s="4"/>
      <c r="N202" s="4"/>
      <c r="O202" s="532">
        <v>50</v>
      </c>
      <c r="P202" s="324" t="s">
        <v>861</v>
      </c>
      <c r="Q202" s="4"/>
    </row>
    <row r="203" spans="1:17" x14ac:dyDescent="0.2">
      <c r="A203" s="2"/>
      <c r="B203" s="2"/>
      <c r="C203" s="3"/>
      <c r="D203" s="4"/>
      <c r="E203" s="4"/>
      <c r="F203" s="4"/>
      <c r="G203" s="4"/>
      <c r="H203" s="4"/>
      <c r="I203" s="4"/>
      <c r="J203" s="4"/>
      <c r="K203" s="4"/>
      <c r="L203" s="4"/>
      <c r="M203" s="4"/>
      <c r="N203" s="4"/>
      <c r="O203" s="4"/>
      <c r="P203" s="4"/>
      <c r="Q203" s="4"/>
    </row>
    <row r="204" spans="1:17" ht="15" x14ac:dyDescent="0.2">
      <c r="A204" s="2"/>
      <c r="B204" s="2"/>
      <c r="C204" s="3"/>
      <c r="D204" s="4"/>
      <c r="E204" s="4"/>
      <c r="F204" s="640" t="s">
        <v>36</v>
      </c>
      <c r="G204" s="640"/>
      <c r="H204" s="640"/>
      <c r="I204" s="640"/>
      <c r="J204" s="640"/>
      <c r="K204" s="640"/>
      <c r="L204" s="640"/>
      <c r="M204" s="640"/>
      <c r="N204" s="640"/>
      <c r="O204" s="640"/>
      <c r="P204" s="640"/>
      <c r="Q204" s="4"/>
    </row>
    <row r="205" spans="1:17" ht="9.9499999999999993" customHeight="1" x14ac:dyDescent="0.2">
      <c r="A205" s="2"/>
      <c r="B205" s="2"/>
      <c r="C205" s="3"/>
      <c r="D205" s="4"/>
      <c r="E205" s="4"/>
      <c r="F205" s="4"/>
      <c r="G205" s="4"/>
      <c r="H205" s="4"/>
      <c r="I205" s="4"/>
      <c r="J205" s="4"/>
      <c r="K205" s="4"/>
      <c r="L205" s="4"/>
      <c r="M205" s="4"/>
      <c r="N205" s="4"/>
      <c r="O205" s="4"/>
      <c r="P205" s="4"/>
      <c r="Q205" s="4"/>
    </row>
    <row r="206" spans="1:17" x14ac:dyDescent="0.2">
      <c r="A206" s="2"/>
      <c r="B206" s="2"/>
      <c r="C206" s="3"/>
      <c r="D206" s="4"/>
      <c r="E206" s="4"/>
      <c r="F206" s="17" t="s">
        <v>40</v>
      </c>
      <c r="G206" s="17"/>
      <c r="H206" s="17"/>
      <c r="I206" s="19">
        <f>Datos_energia!H167</f>
        <v>1078.3154665476266</v>
      </c>
      <c r="J206" s="324" t="s">
        <v>39</v>
      </c>
      <c r="K206" s="4"/>
      <c r="L206" s="4"/>
      <c r="M206" s="4"/>
      <c r="N206" s="4"/>
      <c r="O206" s="4"/>
      <c r="P206" s="4"/>
      <c r="Q206" s="4"/>
    </row>
    <row r="207" spans="1:17" ht="15" thickBot="1" x14ac:dyDescent="0.25">
      <c r="A207" s="2"/>
      <c r="B207" s="2"/>
      <c r="C207" s="3"/>
      <c r="D207" s="4"/>
      <c r="E207" s="4"/>
      <c r="F207" s="4"/>
      <c r="G207" s="4"/>
      <c r="H207" s="4"/>
      <c r="I207" s="4"/>
      <c r="J207" s="4"/>
      <c r="K207" s="4"/>
      <c r="L207" s="4"/>
      <c r="M207" s="4"/>
      <c r="N207" s="4"/>
      <c r="O207" s="4"/>
      <c r="P207" s="4"/>
      <c r="Q207" s="4"/>
    </row>
    <row r="208" spans="1:17" x14ac:dyDescent="0.2">
      <c r="A208" s="2"/>
      <c r="B208" s="2"/>
      <c r="C208" s="3"/>
      <c r="D208" s="4"/>
      <c r="E208" s="4"/>
      <c r="F208" s="418"/>
      <c r="G208" s="419"/>
      <c r="H208" s="419"/>
      <c r="I208" s="419"/>
      <c r="J208" s="420"/>
      <c r="K208" s="4"/>
      <c r="L208" s="4"/>
      <c r="M208" s="4"/>
      <c r="N208" s="4"/>
      <c r="O208" s="4"/>
      <c r="P208" s="4"/>
      <c r="Q208" s="4"/>
    </row>
    <row r="209" spans="1:17" x14ac:dyDescent="0.2">
      <c r="A209" s="2"/>
      <c r="B209" s="2"/>
      <c r="C209" s="3"/>
      <c r="D209" s="4"/>
      <c r="E209" s="4"/>
      <c r="F209" s="421"/>
      <c r="G209" s="415"/>
      <c r="H209" s="415"/>
      <c r="I209" s="560" t="s">
        <v>689</v>
      </c>
      <c r="J209" s="638"/>
      <c r="K209" s="4"/>
      <c r="L209" s="4"/>
      <c r="M209" s="4"/>
      <c r="N209" s="4"/>
      <c r="O209" s="4"/>
      <c r="P209" s="4"/>
      <c r="Q209" s="4"/>
    </row>
    <row r="210" spans="1:17" x14ac:dyDescent="0.2">
      <c r="A210" s="2"/>
      <c r="B210" s="2"/>
      <c r="C210" s="3"/>
      <c r="D210" s="4"/>
      <c r="E210" s="4"/>
      <c r="F210" s="421"/>
      <c r="G210" s="415"/>
      <c r="H210" s="415"/>
      <c r="I210" s="560"/>
      <c r="J210" s="638"/>
      <c r="K210" s="4"/>
      <c r="L210" s="4"/>
      <c r="M210" s="4"/>
      <c r="N210" s="4"/>
      <c r="O210" s="4"/>
      <c r="P210" s="4"/>
      <c r="Q210" s="4"/>
    </row>
    <row r="211" spans="1:17" x14ac:dyDescent="0.2">
      <c r="A211" s="2"/>
      <c r="B211" s="2"/>
      <c r="C211" s="3"/>
      <c r="D211" s="4"/>
      <c r="E211" s="4"/>
      <c r="F211" s="421"/>
      <c r="G211" s="415"/>
      <c r="H211" s="415"/>
      <c r="I211" s="417"/>
      <c r="J211" s="422"/>
      <c r="K211" s="4"/>
      <c r="L211" s="4"/>
      <c r="M211" s="4"/>
      <c r="N211" s="4"/>
      <c r="O211" s="4"/>
      <c r="P211" s="4"/>
      <c r="Q211" s="4"/>
    </row>
    <row r="212" spans="1:17" x14ac:dyDescent="0.2">
      <c r="A212" s="2"/>
      <c r="B212" s="2"/>
      <c r="C212" s="3"/>
      <c r="D212" s="4"/>
      <c r="E212" s="4"/>
      <c r="F212" s="421"/>
      <c r="G212" s="415"/>
      <c r="H212" s="415"/>
      <c r="I212" s="650">
        <f>ROUND(16.4*$I$206,0)</f>
        <v>17684</v>
      </c>
      <c r="J212" s="639" t="s">
        <v>690</v>
      </c>
      <c r="K212" s="4"/>
      <c r="L212" s="4"/>
      <c r="M212" s="4"/>
      <c r="N212" s="4"/>
      <c r="O212" s="4"/>
      <c r="P212" s="4"/>
      <c r="Q212" s="4"/>
    </row>
    <row r="213" spans="1:17" x14ac:dyDescent="0.2">
      <c r="A213" s="2"/>
      <c r="B213" s="2"/>
      <c r="C213" s="3"/>
      <c r="D213" s="4"/>
      <c r="E213" s="4"/>
      <c r="F213" s="421"/>
      <c r="G213" s="415"/>
      <c r="H213" s="415"/>
      <c r="I213" s="650"/>
      <c r="J213" s="639"/>
      <c r="K213" s="4"/>
      <c r="L213" s="4"/>
      <c r="M213" s="4"/>
      <c r="N213" s="4"/>
      <c r="O213" s="4"/>
      <c r="P213" s="4"/>
      <c r="Q213" s="4"/>
    </row>
    <row r="214" spans="1:17" ht="15" thickBot="1" x14ac:dyDescent="0.25">
      <c r="A214" s="2"/>
      <c r="B214" s="2"/>
      <c r="C214" s="3"/>
      <c r="D214" s="4"/>
      <c r="E214" s="4"/>
      <c r="F214" s="423"/>
      <c r="G214" s="424"/>
      <c r="H214" s="424"/>
      <c r="I214" s="424"/>
      <c r="J214" s="425"/>
      <c r="K214" s="4"/>
      <c r="L214" s="4"/>
      <c r="M214" s="4"/>
      <c r="N214" s="4"/>
      <c r="O214" s="4"/>
      <c r="P214" s="4"/>
      <c r="Q214" s="4"/>
    </row>
    <row r="215" spans="1:17" x14ac:dyDescent="0.2">
      <c r="A215" s="2"/>
      <c r="B215" s="2"/>
      <c r="C215" s="3"/>
      <c r="D215" s="4"/>
      <c r="E215" s="4"/>
      <c r="F215" s="4"/>
      <c r="G215" s="4"/>
      <c r="H215" s="4"/>
      <c r="I215" s="4"/>
      <c r="J215" s="4"/>
      <c r="K215" s="4"/>
      <c r="L215" s="4"/>
      <c r="M215" s="4"/>
      <c r="N215" s="4"/>
      <c r="O215" s="4"/>
      <c r="P215" s="4"/>
      <c r="Q215" s="4"/>
    </row>
    <row r="216" spans="1:17" x14ac:dyDescent="0.2">
      <c r="A216" s="2"/>
      <c r="B216" s="2"/>
      <c r="C216" s="3"/>
      <c r="D216" s="4"/>
      <c r="E216" s="4"/>
      <c r="F216" s="4"/>
      <c r="G216" s="4"/>
      <c r="H216" s="4"/>
      <c r="I216" s="4"/>
      <c r="J216" s="4"/>
      <c r="K216" s="4"/>
      <c r="L216" s="4"/>
      <c r="M216" s="4"/>
      <c r="N216" s="4"/>
      <c r="O216" s="4"/>
      <c r="P216" s="4"/>
      <c r="Q216" s="4"/>
    </row>
    <row r="217" spans="1:17" ht="20.100000000000001" customHeight="1" x14ac:dyDescent="0.2">
      <c r="A217" s="2"/>
      <c r="B217" s="2"/>
      <c r="C217" s="3"/>
      <c r="D217" s="4"/>
      <c r="E217" s="629" t="s">
        <v>775</v>
      </c>
      <c r="F217" s="630" t="s">
        <v>2</v>
      </c>
      <c r="G217" s="631"/>
      <c r="H217" s="631"/>
      <c r="I217" s="632"/>
      <c r="J217" s="633" t="s">
        <v>780</v>
      </c>
      <c r="K217" s="634"/>
      <c r="L217" s="634"/>
      <c r="M217" s="634"/>
      <c r="N217" s="634"/>
      <c r="O217" s="634"/>
      <c r="P217" s="635"/>
      <c r="Q217" s="4"/>
    </row>
    <row r="218" spans="1:17" ht="20.100000000000001" customHeight="1" x14ac:dyDescent="0.2">
      <c r="A218" s="2"/>
      <c r="B218" s="2"/>
      <c r="C218" s="3"/>
      <c r="D218" s="4"/>
      <c r="E218" s="629"/>
      <c r="F218" s="630" t="s">
        <v>3</v>
      </c>
      <c r="G218" s="631"/>
      <c r="H218" s="631"/>
      <c r="I218" s="632"/>
      <c r="J218" s="633" t="s">
        <v>1083</v>
      </c>
      <c r="K218" s="634"/>
      <c r="L218" s="634"/>
      <c r="M218" s="634"/>
      <c r="N218" s="634"/>
      <c r="O218" s="634"/>
      <c r="P218" s="635"/>
      <c r="Q218" s="4"/>
    </row>
    <row r="219" spans="1:17" ht="35.1" customHeight="1" x14ac:dyDescent="0.2">
      <c r="A219" s="2"/>
      <c r="B219" s="2"/>
      <c r="C219" s="3"/>
      <c r="D219" s="4"/>
      <c r="E219" s="4"/>
      <c r="F219" s="642" t="s">
        <v>50</v>
      </c>
      <c r="G219" s="642"/>
      <c r="H219" s="642"/>
      <c r="I219" s="642"/>
      <c r="J219" s="643" t="s">
        <v>952</v>
      </c>
      <c r="K219" s="644"/>
      <c r="L219" s="644"/>
      <c r="M219" s="644"/>
      <c r="N219" s="644"/>
      <c r="O219" s="644"/>
      <c r="P219" s="644"/>
      <c r="Q219" s="4"/>
    </row>
    <row r="220" spans="1:17" x14ac:dyDescent="0.2">
      <c r="A220" s="2"/>
      <c r="B220" s="2"/>
      <c r="C220" s="3"/>
      <c r="D220" s="4"/>
      <c r="E220" s="4"/>
      <c r="F220" s="4"/>
      <c r="G220" s="4"/>
      <c r="H220" s="4"/>
      <c r="I220" s="4"/>
      <c r="J220" s="4"/>
      <c r="K220" s="4"/>
      <c r="L220" s="4"/>
      <c r="M220" s="4"/>
      <c r="N220" s="4"/>
      <c r="O220" s="4"/>
      <c r="P220" s="4"/>
      <c r="Q220" s="4"/>
    </row>
    <row r="221" spans="1:17" ht="15" x14ac:dyDescent="0.2">
      <c r="A221" s="2"/>
      <c r="B221" s="2"/>
      <c r="C221" s="3"/>
      <c r="D221" s="4"/>
      <c r="E221" s="4"/>
      <c r="F221" s="640" t="s">
        <v>20</v>
      </c>
      <c r="G221" s="640"/>
      <c r="H221" s="640"/>
      <c r="I221" s="640"/>
      <c r="J221" s="640"/>
      <c r="K221" s="640"/>
      <c r="L221" s="640"/>
      <c r="M221" s="640"/>
      <c r="N221" s="640"/>
      <c r="O221" s="640"/>
      <c r="P221" s="640"/>
      <c r="Q221" s="4"/>
    </row>
    <row r="222" spans="1:17" ht="9.9499999999999993" customHeight="1" x14ac:dyDescent="0.2">
      <c r="A222" s="2"/>
      <c r="B222" s="2"/>
      <c r="C222" s="3"/>
      <c r="D222" s="4"/>
      <c r="E222" s="4"/>
      <c r="F222" s="4"/>
      <c r="G222" s="4"/>
      <c r="H222" s="4"/>
      <c r="I222" s="4"/>
      <c r="J222" s="4"/>
      <c r="K222" s="4"/>
      <c r="L222" s="4"/>
      <c r="M222" s="4"/>
      <c r="N222" s="4"/>
      <c r="O222" s="4"/>
      <c r="P222" s="4"/>
      <c r="Q222" s="4"/>
    </row>
    <row r="223" spans="1:17" ht="14.25" customHeight="1" x14ac:dyDescent="0.2">
      <c r="A223" s="2"/>
      <c r="B223" s="2"/>
      <c r="C223" s="3"/>
      <c r="D223" s="4"/>
      <c r="E223" s="4"/>
      <c r="F223" s="17" t="s">
        <v>1011</v>
      </c>
      <c r="G223" s="17"/>
      <c r="H223" s="430"/>
      <c r="I223" s="4"/>
      <c r="J223" s="4"/>
      <c r="K223" s="4"/>
      <c r="L223" s="4"/>
      <c r="M223" s="4"/>
      <c r="N223" s="4"/>
      <c r="O223" s="537">
        <v>13</v>
      </c>
      <c r="P223" s="337" t="s">
        <v>279</v>
      </c>
      <c r="Q223" s="4"/>
    </row>
    <row r="224" spans="1:17" x14ac:dyDescent="0.2">
      <c r="A224" s="2"/>
      <c r="B224" s="2"/>
      <c r="C224" s="3"/>
      <c r="D224" s="4"/>
      <c r="E224" s="4"/>
      <c r="F224" s="17" t="s">
        <v>1012</v>
      </c>
      <c r="G224" s="17"/>
      <c r="H224" s="17"/>
      <c r="I224" s="4"/>
      <c r="J224" s="4"/>
      <c r="K224" s="4"/>
      <c r="L224" s="4"/>
      <c r="M224" s="4"/>
      <c r="N224" s="4"/>
      <c r="O224" s="536">
        <v>2000</v>
      </c>
      <c r="P224" s="337" t="s">
        <v>764</v>
      </c>
      <c r="Q224" s="4"/>
    </row>
    <row r="225" spans="1:17" x14ac:dyDescent="0.2">
      <c r="A225" s="2"/>
      <c r="B225" s="2"/>
      <c r="C225" s="3"/>
      <c r="D225" s="4"/>
      <c r="E225" s="4"/>
      <c r="F225" s="17" t="s">
        <v>1013</v>
      </c>
      <c r="G225" s="17"/>
      <c r="H225" s="17"/>
      <c r="I225" s="4"/>
      <c r="J225" s="4"/>
      <c r="K225" s="4"/>
      <c r="L225" s="4"/>
      <c r="M225" s="4"/>
      <c r="N225" s="4"/>
      <c r="O225" s="532">
        <v>3</v>
      </c>
      <c r="P225" s="324" t="s">
        <v>762</v>
      </c>
      <c r="Q225" s="4"/>
    </row>
    <row r="226" spans="1:17" x14ac:dyDescent="0.2">
      <c r="A226" s="2"/>
      <c r="B226" s="2"/>
      <c r="C226" s="3"/>
      <c r="D226" s="4"/>
      <c r="E226" s="4"/>
      <c r="F226" s="4"/>
      <c r="G226" s="4"/>
      <c r="H226" s="4"/>
      <c r="I226" s="4"/>
      <c r="J226" s="57"/>
      <c r="K226" s="4"/>
      <c r="L226" s="4"/>
      <c r="M226" s="4"/>
      <c r="N226" s="4"/>
      <c r="O226" s="4"/>
      <c r="P226" s="4"/>
      <c r="Q226" s="4"/>
    </row>
    <row r="227" spans="1:17" ht="15" x14ac:dyDescent="0.2">
      <c r="A227" s="2"/>
      <c r="B227" s="2"/>
      <c r="C227" s="3"/>
      <c r="D227" s="4"/>
      <c r="E227" s="4"/>
      <c r="F227" s="640" t="s">
        <v>36</v>
      </c>
      <c r="G227" s="640"/>
      <c r="H227" s="640"/>
      <c r="I227" s="640"/>
      <c r="J227" s="640"/>
      <c r="K227" s="640"/>
      <c r="L227" s="640"/>
      <c r="M227" s="640"/>
      <c r="N227" s="640"/>
      <c r="O227" s="640"/>
      <c r="P227" s="640"/>
      <c r="Q227" s="4"/>
    </row>
    <row r="228" spans="1:17" ht="9.9499999999999993" customHeight="1" x14ac:dyDescent="0.2">
      <c r="A228" s="2"/>
      <c r="B228" s="2"/>
      <c r="C228" s="3"/>
      <c r="D228" s="4"/>
      <c r="E228" s="4"/>
      <c r="F228" s="4"/>
      <c r="G228" s="4"/>
      <c r="H228" s="4"/>
      <c r="I228" s="4"/>
      <c r="J228" s="4"/>
      <c r="K228" s="4"/>
      <c r="L228" s="4"/>
      <c r="M228" s="4"/>
      <c r="N228" s="4"/>
      <c r="O228" s="4"/>
      <c r="P228" s="4"/>
      <c r="Q228" s="4"/>
    </row>
    <row r="229" spans="1:17" x14ac:dyDescent="0.2">
      <c r="A229" s="2"/>
      <c r="B229" s="2"/>
      <c r="C229" s="3"/>
      <c r="D229" s="4"/>
      <c r="E229" s="4"/>
      <c r="F229" s="17" t="s">
        <v>40</v>
      </c>
      <c r="G229" s="17"/>
      <c r="H229" s="17"/>
      <c r="I229" s="19">
        <f>Datos_energia!H198</f>
        <v>326.19600000000003</v>
      </c>
      <c r="J229" s="324" t="s">
        <v>39</v>
      </c>
      <c r="K229" s="4"/>
      <c r="L229" s="4"/>
      <c r="M229" s="4"/>
      <c r="N229" s="4"/>
      <c r="O229" s="4"/>
      <c r="P229" s="4"/>
      <c r="Q229" s="4"/>
    </row>
    <row r="230" spans="1:17" ht="15" thickBot="1" x14ac:dyDescent="0.25">
      <c r="A230" s="2"/>
      <c r="B230" s="2"/>
      <c r="C230" s="3"/>
      <c r="D230" s="4"/>
      <c r="E230" s="4"/>
      <c r="F230" s="4"/>
      <c r="G230" s="4"/>
      <c r="H230" s="4"/>
      <c r="I230" s="4"/>
      <c r="J230" s="4"/>
      <c r="K230" s="4"/>
      <c r="L230" s="4"/>
      <c r="M230" s="4"/>
      <c r="N230" s="4"/>
      <c r="O230" s="4"/>
      <c r="P230" s="4"/>
      <c r="Q230" s="4"/>
    </row>
    <row r="231" spans="1:17" x14ac:dyDescent="0.2">
      <c r="A231" s="2"/>
      <c r="B231" s="2"/>
      <c r="C231" s="3"/>
      <c r="D231" s="4"/>
      <c r="E231" s="4"/>
      <c r="F231" s="418"/>
      <c r="G231" s="419"/>
      <c r="H231" s="419"/>
      <c r="I231" s="419"/>
      <c r="J231" s="420"/>
      <c r="K231" s="4"/>
      <c r="L231" s="4"/>
      <c r="M231" s="4"/>
      <c r="N231" s="4"/>
      <c r="O231" s="4"/>
      <c r="P231" s="4"/>
      <c r="Q231" s="4"/>
    </row>
    <row r="232" spans="1:17" x14ac:dyDescent="0.2">
      <c r="A232" s="2"/>
      <c r="B232" s="2"/>
      <c r="C232" s="3"/>
      <c r="D232" s="4"/>
      <c r="E232" s="4"/>
      <c r="F232" s="421"/>
      <c r="G232" s="415"/>
      <c r="H232" s="415"/>
      <c r="I232" s="560" t="s">
        <v>689</v>
      </c>
      <c r="J232" s="638"/>
      <c r="K232" s="4"/>
      <c r="L232" s="4"/>
      <c r="M232" s="4"/>
      <c r="N232" s="4"/>
      <c r="O232" s="4"/>
      <c r="P232" s="4"/>
      <c r="Q232" s="4"/>
    </row>
    <row r="233" spans="1:17" x14ac:dyDescent="0.2">
      <c r="A233" s="2"/>
      <c r="B233" s="2"/>
      <c r="C233" s="3"/>
      <c r="D233" s="4"/>
      <c r="E233" s="4"/>
      <c r="F233" s="421"/>
      <c r="G233" s="415"/>
      <c r="H233" s="415"/>
      <c r="I233" s="560"/>
      <c r="J233" s="638"/>
      <c r="K233" s="4"/>
      <c r="L233" s="4"/>
      <c r="M233" s="4"/>
      <c r="N233" s="4"/>
      <c r="O233" s="4"/>
      <c r="P233" s="4"/>
      <c r="Q233" s="4"/>
    </row>
    <row r="234" spans="1:17" x14ac:dyDescent="0.2">
      <c r="A234" s="2"/>
      <c r="B234" s="2"/>
      <c r="C234" s="3"/>
      <c r="D234" s="4"/>
      <c r="E234" s="4"/>
      <c r="F234" s="421"/>
      <c r="G234" s="415"/>
      <c r="H234" s="415"/>
      <c r="I234" s="416"/>
      <c r="J234" s="422"/>
      <c r="K234" s="4"/>
      <c r="L234" s="4"/>
      <c r="M234" s="4"/>
      <c r="N234" s="4"/>
      <c r="O234" s="4"/>
      <c r="P234" s="4"/>
      <c r="Q234" s="4"/>
    </row>
    <row r="235" spans="1:17" x14ac:dyDescent="0.2">
      <c r="A235" s="2"/>
      <c r="B235" s="2"/>
      <c r="C235" s="3"/>
      <c r="D235" s="4"/>
      <c r="E235" s="4"/>
      <c r="F235" s="421"/>
      <c r="G235" s="415"/>
      <c r="H235" s="415"/>
      <c r="I235" s="641">
        <f>ROUND(16.4*$I$229,0)</f>
        <v>5350</v>
      </c>
      <c r="J235" s="639" t="s">
        <v>690</v>
      </c>
      <c r="K235" s="4"/>
      <c r="L235" s="4"/>
      <c r="M235" s="4"/>
      <c r="N235" s="4"/>
      <c r="O235" s="4"/>
      <c r="P235" s="4"/>
      <c r="Q235" s="4"/>
    </row>
    <row r="236" spans="1:17" x14ac:dyDescent="0.2">
      <c r="A236" s="2"/>
      <c r="B236" s="2"/>
      <c r="C236" s="3"/>
      <c r="D236" s="4"/>
      <c r="E236" s="4"/>
      <c r="F236" s="421"/>
      <c r="G236" s="415"/>
      <c r="H236" s="415"/>
      <c r="I236" s="641"/>
      <c r="J236" s="639"/>
      <c r="K236" s="4"/>
      <c r="L236" s="4"/>
      <c r="M236" s="4"/>
      <c r="N236" s="4"/>
      <c r="O236" s="4"/>
      <c r="P236" s="4"/>
      <c r="Q236" s="4"/>
    </row>
    <row r="237" spans="1:17" ht="15" thickBot="1" x14ac:dyDescent="0.25">
      <c r="A237" s="2"/>
      <c r="B237" s="2"/>
      <c r="C237" s="3"/>
      <c r="D237" s="4"/>
      <c r="E237" s="4"/>
      <c r="F237" s="423"/>
      <c r="G237" s="424"/>
      <c r="H237" s="424"/>
      <c r="I237" s="424"/>
      <c r="J237" s="425"/>
      <c r="K237" s="4"/>
      <c r="L237" s="4"/>
      <c r="M237" s="4"/>
      <c r="N237" s="4"/>
      <c r="O237" s="4"/>
      <c r="P237" s="4"/>
      <c r="Q237" s="4"/>
    </row>
    <row r="238" spans="1:17" x14ac:dyDescent="0.2">
      <c r="A238" s="2"/>
      <c r="B238" s="2"/>
      <c r="C238" s="3"/>
      <c r="D238" s="4"/>
      <c r="E238" s="4"/>
      <c r="F238" s="4"/>
      <c r="G238" s="4"/>
      <c r="H238" s="4"/>
      <c r="I238" s="4"/>
      <c r="J238" s="4"/>
      <c r="K238" s="4"/>
      <c r="L238" s="4"/>
      <c r="M238" s="4"/>
      <c r="N238" s="4"/>
      <c r="O238" s="4"/>
      <c r="P238" s="4"/>
      <c r="Q238" s="4"/>
    </row>
    <row r="239" spans="1:17" ht="30" customHeight="1" x14ac:dyDescent="0.2">
      <c r="A239" s="2"/>
      <c r="B239" s="2"/>
      <c r="C239" s="3"/>
      <c r="D239" s="4"/>
      <c r="E239" s="4"/>
      <c r="F239" s="636" t="s">
        <v>1097</v>
      </c>
      <c r="G239" s="636"/>
      <c r="H239" s="636"/>
      <c r="I239" s="636"/>
      <c r="J239" s="636"/>
      <c r="K239" s="636"/>
      <c r="L239" s="636"/>
      <c r="M239" s="636"/>
      <c r="N239" s="636"/>
      <c r="O239" s="636"/>
      <c r="P239" s="636"/>
      <c r="Q239" s="4"/>
    </row>
    <row r="240" spans="1:17" x14ac:dyDescent="0.2">
      <c r="A240" s="2"/>
      <c r="B240" s="2"/>
      <c r="C240" s="3"/>
      <c r="D240" s="4"/>
      <c r="E240" s="4"/>
      <c r="F240" s="4"/>
      <c r="G240" s="4"/>
      <c r="H240" s="4"/>
      <c r="I240" s="4"/>
      <c r="J240" s="4"/>
      <c r="K240" s="4"/>
      <c r="L240" s="4"/>
      <c r="M240" s="4"/>
      <c r="N240" s="4"/>
      <c r="O240" s="4"/>
      <c r="P240" s="4"/>
      <c r="Q240" s="4"/>
    </row>
    <row r="241" spans="1:17" x14ac:dyDescent="0.2">
      <c r="A241" s="2"/>
      <c r="B241" s="2"/>
      <c r="C241" s="3"/>
      <c r="D241" s="4"/>
      <c r="E241" s="4"/>
      <c r="F241" s="4"/>
      <c r="G241" s="4"/>
      <c r="H241" s="4"/>
      <c r="I241" s="4"/>
      <c r="J241" s="4"/>
      <c r="K241" s="4"/>
      <c r="L241" s="4"/>
      <c r="M241" s="4"/>
      <c r="N241" s="4"/>
      <c r="O241" s="4"/>
      <c r="P241" s="4"/>
      <c r="Q241" s="4"/>
    </row>
    <row r="242" spans="1:17" ht="20.100000000000001" customHeight="1" x14ac:dyDescent="0.2">
      <c r="A242" s="2"/>
      <c r="B242" s="2"/>
      <c r="C242" s="3"/>
      <c r="D242" s="4"/>
      <c r="E242" s="629" t="s">
        <v>779</v>
      </c>
      <c r="F242" s="630" t="s">
        <v>2</v>
      </c>
      <c r="G242" s="631"/>
      <c r="H242" s="631"/>
      <c r="I242" s="632"/>
      <c r="J242" s="633" t="s">
        <v>778</v>
      </c>
      <c r="K242" s="634"/>
      <c r="L242" s="634"/>
      <c r="M242" s="634"/>
      <c r="N242" s="634"/>
      <c r="O242" s="634"/>
      <c r="P242" s="635"/>
      <c r="Q242" s="4"/>
    </row>
    <row r="243" spans="1:17" ht="20.100000000000001" customHeight="1" x14ac:dyDescent="0.2">
      <c r="A243" s="2"/>
      <c r="B243" s="2"/>
      <c r="C243" s="3"/>
      <c r="D243" s="4"/>
      <c r="E243" s="629"/>
      <c r="F243" s="630" t="s">
        <v>3</v>
      </c>
      <c r="G243" s="631"/>
      <c r="H243" s="631"/>
      <c r="I243" s="632"/>
      <c r="J243" s="633" t="s">
        <v>1083</v>
      </c>
      <c r="K243" s="634"/>
      <c r="L243" s="634"/>
      <c r="M243" s="634"/>
      <c r="N243" s="634"/>
      <c r="O243" s="634"/>
      <c r="P243" s="635"/>
      <c r="Q243" s="4"/>
    </row>
    <row r="244" spans="1:17" ht="50.1" customHeight="1" x14ac:dyDescent="0.2">
      <c r="A244" s="2"/>
      <c r="B244" s="2"/>
      <c r="C244" s="3"/>
      <c r="D244" s="4"/>
      <c r="E244" s="4"/>
      <c r="F244" s="642" t="s">
        <v>50</v>
      </c>
      <c r="G244" s="642"/>
      <c r="H244" s="642"/>
      <c r="I244" s="642"/>
      <c r="J244" s="643" t="s">
        <v>797</v>
      </c>
      <c r="K244" s="644"/>
      <c r="L244" s="644"/>
      <c r="M244" s="644"/>
      <c r="N244" s="644"/>
      <c r="O244" s="644"/>
      <c r="P244" s="644"/>
      <c r="Q244" s="4"/>
    </row>
    <row r="245" spans="1:17" x14ac:dyDescent="0.2">
      <c r="A245" s="2"/>
      <c r="B245" s="2"/>
      <c r="C245" s="3"/>
      <c r="D245" s="4"/>
      <c r="E245" s="4"/>
      <c r="F245" s="4"/>
      <c r="G245" s="4"/>
      <c r="H245" s="4"/>
      <c r="I245" s="4"/>
      <c r="J245" s="4"/>
      <c r="K245" s="4"/>
      <c r="L245" s="4"/>
      <c r="M245" s="4"/>
      <c r="N245" s="4"/>
      <c r="O245" s="4"/>
      <c r="P245" s="4"/>
      <c r="Q245" s="4"/>
    </row>
    <row r="246" spans="1:17" ht="15" x14ac:dyDescent="0.2">
      <c r="A246" s="2"/>
      <c r="B246" s="2"/>
      <c r="C246" s="3"/>
      <c r="D246" s="4"/>
      <c r="E246" s="4"/>
      <c r="F246" s="640" t="s">
        <v>20</v>
      </c>
      <c r="G246" s="640"/>
      <c r="H246" s="640"/>
      <c r="I246" s="640"/>
      <c r="J246" s="640"/>
      <c r="K246" s="640"/>
      <c r="L246" s="640"/>
      <c r="M246" s="640"/>
      <c r="N246" s="640"/>
      <c r="O246" s="640"/>
      <c r="P246" s="640"/>
      <c r="Q246" s="4"/>
    </row>
    <row r="247" spans="1:17" ht="9.9499999999999993" customHeight="1" x14ac:dyDescent="0.2">
      <c r="A247" s="2"/>
      <c r="B247" s="2"/>
      <c r="C247" s="3"/>
      <c r="D247" s="4"/>
      <c r="E247" s="4"/>
      <c r="F247" s="4"/>
      <c r="G247" s="4"/>
      <c r="H247" s="4"/>
      <c r="I247" s="4"/>
      <c r="J247" s="4"/>
      <c r="K247" s="4"/>
      <c r="L247" s="4"/>
      <c r="M247" s="4"/>
      <c r="N247" s="4"/>
      <c r="O247" s="4"/>
      <c r="P247" s="4"/>
      <c r="Q247" s="4"/>
    </row>
    <row r="248" spans="1:17" x14ac:dyDescent="0.2">
      <c r="A248" s="2"/>
      <c r="B248" s="2"/>
      <c r="C248" s="3"/>
      <c r="D248" s="4"/>
      <c r="E248" s="4"/>
      <c r="F248" s="17" t="s">
        <v>972</v>
      </c>
      <c r="G248" s="17"/>
      <c r="H248" s="17"/>
      <c r="I248" s="4"/>
      <c r="J248" s="4"/>
      <c r="K248" s="4"/>
      <c r="L248" s="4"/>
      <c r="M248" s="4"/>
      <c r="N248" s="4"/>
      <c r="O248" s="532">
        <v>10</v>
      </c>
      <c r="P248" s="337" t="s">
        <v>327</v>
      </c>
      <c r="Q248" s="4"/>
    </row>
    <row r="249" spans="1:17" x14ac:dyDescent="0.2">
      <c r="A249" s="2"/>
      <c r="B249" s="2"/>
      <c r="C249" s="3"/>
      <c r="D249" s="4"/>
      <c r="E249" s="4"/>
      <c r="F249" s="17" t="s">
        <v>989</v>
      </c>
      <c r="G249" s="17"/>
      <c r="H249" s="17"/>
      <c r="I249" s="4"/>
      <c r="J249" s="4"/>
      <c r="K249" s="4"/>
      <c r="L249" s="4"/>
      <c r="M249" s="4"/>
      <c r="N249" s="4"/>
      <c r="O249" s="532">
        <v>5</v>
      </c>
      <c r="P249" s="337" t="s">
        <v>1014</v>
      </c>
      <c r="Q249" s="4"/>
    </row>
    <row r="250" spans="1:17" x14ac:dyDescent="0.2">
      <c r="A250" s="2"/>
      <c r="B250" s="2"/>
      <c r="C250" s="3"/>
      <c r="D250" s="4"/>
      <c r="E250" s="4"/>
      <c r="F250" s="17" t="s">
        <v>1015</v>
      </c>
      <c r="G250" s="17"/>
      <c r="H250" s="4"/>
      <c r="I250" s="4"/>
      <c r="J250" s="4"/>
      <c r="K250" s="4"/>
      <c r="L250" s="4"/>
      <c r="M250" s="4"/>
      <c r="N250" s="4"/>
      <c r="O250" s="532">
        <v>12</v>
      </c>
      <c r="P250" s="337" t="s">
        <v>586</v>
      </c>
      <c r="Q250" s="4"/>
    </row>
    <row r="251" spans="1:17" x14ac:dyDescent="0.2">
      <c r="A251" s="2"/>
      <c r="B251" s="2"/>
      <c r="C251" s="3"/>
      <c r="D251" s="4"/>
      <c r="E251" s="4"/>
      <c r="F251" s="17" t="s">
        <v>1016</v>
      </c>
      <c r="G251" s="17"/>
      <c r="H251" s="4"/>
      <c r="I251" s="4"/>
      <c r="J251" s="4"/>
      <c r="K251" s="4"/>
      <c r="L251" s="4"/>
      <c r="M251" s="4"/>
      <c r="N251" s="4"/>
      <c r="O251" s="532">
        <v>250</v>
      </c>
      <c r="P251" s="337" t="s">
        <v>788</v>
      </c>
      <c r="Q251" s="4"/>
    </row>
    <row r="252" spans="1:17" x14ac:dyDescent="0.2">
      <c r="A252" s="2"/>
      <c r="B252" s="2"/>
      <c r="C252" s="3"/>
      <c r="D252" s="4"/>
      <c r="E252" s="4"/>
      <c r="F252" s="4"/>
      <c r="G252" s="4"/>
      <c r="H252" s="4"/>
      <c r="I252" s="4"/>
      <c r="J252" s="177"/>
      <c r="K252" s="4"/>
      <c r="L252" s="4"/>
      <c r="M252" s="4"/>
      <c r="N252" s="4"/>
      <c r="O252" s="4"/>
      <c r="P252" s="4"/>
      <c r="Q252" s="4"/>
    </row>
    <row r="253" spans="1:17" ht="15" x14ac:dyDescent="0.2">
      <c r="A253" s="2"/>
      <c r="B253" s="2"/>
      <c r="C253" s="3"/>
      <c r="D253" s="4"/>
      <c r="E253" s="4"/>
      <c r="F253" s="640" t="s">
        <v>36</v>
      </c>
      <c r="G253" s="640"/>
      <c r="H253" s="640"/>
      <c r="I253" s="640"/>
      <c r="J253" s="640"/>
      <c r="K253" s="640"/>
      <c r="L253" s="640"/>
      <c r="M253" s="640"/>
      <c r="N253" s="640"/>
      <c r="O253" s="640"/>
      <c r="P253" s="640"/>
      <c r="Q253" s="4"/>
    </row>
    <row r="254" spans="1:17" ht="9.9499999999999993" customHeight="1" x14ac:dyDescent="0.2">
      <c r="A254" s="2"/>
      <c r="B254" s="2"/>
      <c r="C254" s="3"/>
      <c r="D254" s="4"/>
      <c r="E254" s="4"/>
      <c r="F254" s="4"/>
      <c r="G254" s="4"/>
      <c r="H254" s="4"/>
      <c r="I254" s="4"/>
      <c r="J254" s="4"/>
      <c r="K254" s="4"/>
      <c r="L254" s="4"/>
      <c r="M254" s="4"/>
      <c r="N254" s="4"/>
      <c r="O254" s="4"/>
      <c r="P254" s="4"/>
      <c r="Q254" s="4"/>
    </row>
    <row r="255" spans="1:17" x14ac:dyDescent="0.2">
      <c r="A255" s="2"/>
      <c r="B255" s="2"/>
      <c r="C255" s="3"/>
      <c r="D255" s="4"/>
      <c r="E255" s="4"/>
      <c r="F255" s="17" t="s">
        <v>40</v>
      </c>
      <c r="G255" s="17"/>
      <c r="H255" s="17"/>
      <c r="I255" s="19">
        <f>Datos_energia!H211</f>
        <v>44.295000000000002</v>
      </c>
      <c r="J255" s="324" t="s">
        <v>39</v>
      </c>
      <c r="K255" s="4"/>
      <c r="L255" s="4"/>
      <c r="M255" s="4"/>
      <c r="N255" s="4"/>
      <c r="O255" s="4"/>
      <c r="P255" s="4"/>
      <c r="Q255" s="4"/>
    </row>
    <row r="256" spans="1:17" ht="15" thickBot="1" x14ac:dyDescent="0.25">
      <c r="A256" s="2"/>
      <c r="B256" s="2"/>
      <c r="C256" s="3"/>
      <c r="D256" s="4"/>
      <c r="E256" s="4"/>
      <c r="F256" s="4"/>
      <c r="G256" s="4"/>
      <c r="H256" s="4"/>
      <c r="I256" s="4"/>
      <c r="J256" s="4"/>
      <c r="K256" s="4"/>
      <c r="L256" s="4"/>
      <c r="M256" s="4"/>
      <c r="N256" s="4"/>
      <c r="O256" s="4"/>
      <c r="P256" s="4"/>
      <c r="Q256" s="4"/>
    </row>
    <row r="257" spans="1:17" x14ac:dyDescent="0.2">
      <c r="A257" s="2"/>
      <c r="B257" s="2"/>
      <c r="C257" s="3"/>
      <c r="D257" s="4"/>
      <c r="E257" s="4"/>
      <c r="F257" s="418"/>
      <c r="G257" s="419"/>
      <c r="H257" s="419"/>
      <c r="I257" s="419"/>
      <c r="J257" s="420"/>
      <c r="K257" s="4"/>
      <c r="L257" s="4"/>
      <c r="M257" s="4"/>
      <c r="N257" s="4"/>
      <c r="O257" s="4"/>
      <c r="P257" s="4"/>
      <c r="Q257" s="4"/>
    </row>
    <row r="258" spans="1:17" x14ac:dyDescent="0.2">
      <c r="A258" s="2"/>
      <c r="B258" s="2"/>
      <c r="C258" s="3"/>
      <c r="D258" s="4"/>
      <c r="E258" s="4"/>
      <c r="F258" s="421"/>
      <c r="G258" s="415"/>
      <c r="H258" s="415"/>
      <c r="I258" s="560" t="s">
        <v>689</v>
      </c>
      <c r="J258" s="638"/>
      <c r="K258" s="4"/>
      <c r="L258" s="4"/>
      <c r="M258" s="4"/>
      <c r="N258" s="4"/>
      <c r="O258" s="4"/>
      <c r="P258" s="4"/>
      <c r="Q258" s="4"/>
    </row>
    <row r="259" spans="1:17" x14ac:dyDescent="0.2">
      <c r="A259" s="2"/>
      <c r="B259" s="2"/>
      <c r="C259" s="3"/>
      <c r="D259" s="4"/>
      <c r="E259" s="4"/>
      <c r="F259" s="421"/>
      <c r="G259" s="415"/>
      <c r="H259" s="415"/>
      <c r="I259" s="560"/>
      <c r="J259" s="638"/>
      <c r="K259" s="4"/>
      <c r="L259" s="4"/>
      <c r="M259" s="4"/>
      <c r="N259" s="4"/>
      <c r="O259" s="4"/>
      <c r="P259" s="4"/>
      <c r="Q259" s="4"/>
    </row>
    <row r="260" spans="1:17" x14ac:dyDescent="0.2">
      <c r="A260" s="2"/>
      <c r="B260" s="2"/>
      <c r="C260" s="3"/>
      <c r="D260" s="4"/>
      <c r="E260" s="4"/>
      <c r="F260" s="421"/>
      <c r="G260" s="415"/>
      <c r="H260" s="415"/>
      <c r="I260" s="417"/>
      <c r="J260" s="422"/>
      <c r="K260" s="4"/>
      <c r="L260" s="4"/>
      <c r="M260" s="4"/>
      <c r="N260" s="4"/>
      <c r="O260" s="4"/>
      <c r="P260" s="4"/>
      <c r="Q260" s="4"/>
    </row>
    <row r="261" spans="1:17" x14ac:dyDescent="0.2">
      <c r="A261" s="2"/>
      <c r="B261" s="2"/>
      <c r="C261" s="3"/>
      <c r="D261" s="4"/>
      <c r="E261" s="4"/>
      <c r="F261" s="421"/>
      <c r="G261" s="415"/>
      <c r="H261" s="415"/>
      <c r="I261" s="641">
        <f>ROUND(16.4*I255,0)</f>
        <v>726</v>
      </c>
      <c r="J261" s="639" t="s">
        <v>690</v>
      </c>
      <c r="K261" s="4"/>
      <c r="L261" s="4"/>
      <c r="M261" s="4"/>
      <c r="N261" s="4"/>
      <c r="O261" s="4"/>
      <c r="P261" s="4"/>
      <c r="Q261" s="4"/>
    </row>
    <row r="262" spans="1:17" x14ac:dyDescent="0.2">
      <c r="A262" s="2"/>
      <c r="B262" s="2"/>
      <c r="C262" s="3"/>
      <c r="D262" s="4"/>
      <c r="E262" s="4"/>
      <c r="F262" s="421"/>
      <c r="G262" s="415"/>
      <c r="H262" s="415"/>
      <c r="I262" s="641"/>
      <c r="J262" s="639"/>
      <c r="K262" s="4"/>
      <c r="L262" s="4"/>
      <c r="M262" s="4"/>
      <c r="N262" s="4"/>
      <c r="O262" s="4"/>
      <c r="P262" s="4"/>
      <c r="Q262" s="4"/>
    </row>
    <row r="263" spans="1:17" ht="15" thickBot="1" x14ac:dyDescent="0.25">
      <c r="A263" s="2"/>
      <c r="B263" s="2"/>
      <c r="C263" s="3"/>
      <c r="D263" s="4"/>
      <c r="E263" s="4"/>
      <c r="F263" s="423"/>
      <c r="G263" s="424"/>
      <c r="H263" s="424"/>
      <c r="I263" s="424"/>
      <c r="J263" s="425"/>
      <c r="K263" s="4"/>
      <c r="L263" s="4"/>
      <c r="M263" s="4"/>
      <c r="N263" s="4"/>
      <c r="O263" s="4"/>
      <c r="P263" s="4"/>
      <c r="Q263" s="4"/>
    </row>
    <row r="264" spans="1:17" x14ac:dyDescent="0.2">
      <c r="A264" s="2"/>
      <c r="B264" s="2"/>
      <c r="C264" s="3"/>
      <c r="D264" s="4"/>
      <c r="E264" s="4"/>
      <c r="F264" s="4"/>
      <c r="G264" s="4"/>
      <c r="H264" s="4"/>
      <c r="I264" s="4"/>
      <c r="J264" s="4"/>
      <c r="K264" s="4"/>
      <c r="L264" s="4"/>
      <c r="M264" s="4"/>
      <c r="N264" s="4"/>
      <c r="O264" s="4"/>
      <c r="P264" s="4"/>
      <c r="Q264" s="4"/>
    </row>
    <row r="265" spans="1:17" ht="20.100000000000001" customHeight="1" x14ac:dyDescent="0.2">
      <c r="A265" s="2"/>
      <c r="B265" s="2"/>
      <c r="C265" s="3"/>
      <c r="D265" s="4"/>
      <c r="E265" s="4"/>
      <c r="F265" s="636" t="s">
        <v>1098</v>
      </c>
      <c r="G265" s="636"/>
      <c r="H265" s="636"/>
      <c r="I265" s="636"/>
      <c r="J265" s="636"/>
      <c r="K265" s="636"/>
      <c r="L265" s="636"/>
      <c r="M265" s="636"/>
      <c r="N265" s="636"/>
      <c r="O265" s="636"/>
      <c r="P265" s="636"/>
      <c r="Q265" s="4"/>
    </row>
    <row r="266" spans="1:17" x14ac:dyDescent="0.2">
      <c r="A266" s="2"/>
      <c r="B266" s="2"/>
      <c r="C266" s="3"/>
      <c r="D266" s="4"/>
      <c r="E266" s="4"/>
      <c r="F266" s="4"/>
      <c r="G266" s="4"/>
      <c r="H266" s="4"/>
      <c r="I266" s="4"/>
      <c r="J266" s="4"/>
      <c r="K266" s="4"/>
      <c r="L266" s="4"/>
      <c r="M266" s="4"/>
      <c r="N266" s="4"/>
      <c r="O266" s="4"/>
      <c r="P266" s="4"/>
      <c r="Q266" s="4"/>
    </row>
    <row r="267" spans="1:17" x14ac:dyDescent="0.2">
      <c r="A267" s="2"/>
      <c r="B267" s="2"/>
      <c r="C267" s="3"/>
      <c r="D267" s="4"/>
      <c r="E267" s="4"/>
      <c r="F267" s="4"/>
      <c r="G267" s="4"/>
      <c r="H267" s="4"/>
      <c r="I267" s="4"/>
      <c r="J267" s="4"/>
      <c r="K267" s="4"/>
      <c r="L267" s="4"/>
      <c r="M267" s="4"/>
      <c r="N267" s="4"/>
      <c r="O267" s="4"/>
      <c r="P267" s="4"/>
      <c r="Q267" s="4"/>
    </row>
    <row r="268" spans="1:17" ht="20.100000000000001" customHeight="1" x14ac:dyDescent="0.2">
      <c r="A268" s="2"/>
      <c r="B268" s="2"/>
      <c r="C268" s="3"/>
      <c r="D268" s="4"/>
      <c r="E268" s="629" t="s">
        <v>782</v>
      </c>
      <c r="F268" s="630" t="s">
        <v>2</v>
      </c>
      <c r="G268" s="631"/>
      <c r="H268" s="631"/>
      <c r="I268" s="632"/>
      <c r="J268" s="633" t="s">
        <v>783</v>
      </c>
      <c r="K268" s="634"/>
      <c r="L268" s="634"/>
      <c r="M268" s="634"/>
      <c r="N268" s="634"/>
      <c r="O268" s="634"/>
      <c r="P268" s="635"/>
      <c r="Q268" s="4"/>
    </row>
    <row r="269" spans="1:17" ht="20.100000000000001" customHeight="1" x14ac:dyDescent="0.2">
      <c r="A269" s="2"/>
      <c r="B269" s="2"/>
      <c r="C269" s="3"/>
      <c r="D269" s="4"/>
      <c r="E269" s="629"/>
      <c r="F269" s="630" t="s">
        <v>3</v>
      </c>
      <c r="G269" s="631"/>
      <c r="H269" s="631"/>
      <c r="I269" s="632"/>
      <c r="J269" s="633" t="s">
        <v>1083</v>
      </c>
      <c r="K269" s="634"/>
      <c r="L269" s="634"/>
      <c r="M269" s="634"/>
      <c r="N269" s="634"/>
      <c r="O269" s="634"/>
      <c r="P269" s="635"/>
      <c r="Q269" s="4"/>
    </row>
    <row r="270" spans="1:17" ht="60" customHeight="1" x14ac:dyDescent="0.2">
      <c r="A270" s="2"/>
      <c r="B270" s="2"/>
      <c r="C270" s="3"/>
      <c r="D270" s="4"/>
      <c r="E270" s="4"/>
      <c r="F270" s="642" t="s">
        <v>50</v>
      </c>
      <c r="G270" s="642"/>
      <c r="H270" s="642"/>
      <c r="I270" s="642"/>
      <c r="J270" s="643" t="s">
        <v>798</v>
      </c>
      <c r="K270" s="644"/>
      <c r="L270" s="644"/>
      <c r="M270" s="644"/>
      <c r="N270" s="644"/>
      <c r="O270" s="644"/>
      <c r="P270" s="644"/>
      <c r="Q270" s="4"/>
    </row>
    <row r="271" spans="1:17" x14ac:dyDescent="0.2">
      <c r="A271" s="2"/>
      <c r="B271" s="2"/>
      <c r="C271" s="3"/>
      <c r="D271" s="4"/>
      <c r="E271" s="4"/>
      <c r="F271" s="4"/>
      <c r="G271" s="4"/>
      <c r="H271" s="4"/>
      <c r="I271" s="4"/>
      <c r="J271" s="4"/>
      <c r="K271" s="4"/>
      <c r="L271" s="4"/>
      <c r="M271" s="4"/>
      <c r="N271" s="4"/>
      <c r="O271" s="4"/>
      <c r="P271" s="4"/>
      <c r="Q271" s="4"/>
    </row>
    <row r="272" spans="1:17" ht="15" x14ac:dyDescent="0.2">
      <c r="A272" s="2"/>
      <c r="B272" s="2"/>
      <c r="C272" s="3"/>
      <c r="D272" s="4"/>
      <c r="E272" s="4"/>
      <c r="F272" s="640" t="s">
        <v>20</v>
      </c>
      <c r="G272" s="640"/>
      <c r="H272" s="640"/>
      <c r="I272" s="640"/>
      <c r="J272" s="640"/>
      <c r="K272" s="640"/>
      <c r="L272" s="640"/>
      <c r="M272" s="640"/>
      <c r="N272" s="640"/>
      <c r="O272" s="640"/>
      <c r="P272" s="640"/>
      <c r="Q272" s="4"/>
    </row>
    <row r="273" spans="1:17" ht="9.9499999999999993" customHeight="1" x14ac:dyDescent="0.2">
      <c r="A273" s="2"/>
      <c r="B273" s="2"/>
      <c r="C273" s="3"/>
      <c r="D273" s="4"/>
      <c r="E273" s="4"/>
      <c r="F273" s="4"/>
      <c r="G273" s="4"/>
      <c r="H273" s="4"/>
      <c r="I273" s="4"/>
      <c r="J273" s="4"/>
      <c r="K273" s="4"/>
      <c r="L273" s="4"/>
      <c r="M273" s="4"/>
      <c r="N273" s="4"/>
      <c r="O273" s="4"/>
      <c r="P273" s="4"/>
      <c r="Q273" s="4"/>
    </row>
    <row r="274" spans="1:17" x14ac:dyDescent="0.2">
      <c r="A274" s="2"/>
      <c r="B274" s="2"/>
      <c r="C274" s="3"/>
      <c r="D274" s="4"/>
      <c r="E274" s="4"/>
      <c r="F274" s="17" t="s">
        <v>964</v>
      </c>
      <c r="G274" s="17"/>
      <c r="H274" s="17"/>
      <c r="I274" s="4"/>
      <c r="J274" s="4"/>
      <c r="K274" s="4"/>
      <c r="L274" s="4"/>
      <c r="M274" s="4"/>
      <c r="N274" s="4"/>
      <c r="O274" s="645" t="s">
        <v>334</v>
      </c>
      <c r="P274" s="646"/>
      <c r="Q274" s="4"/>
    </row>
    <row r="275" spans="1:17" ht="14.25" customHeight="1" x14ac:dyDescent="0.2">
      <c r="A275" s="2"/>
      <c r="B275" s="2"/>
      <c r="C275" s="3"/>
      <c r="D275" s="4"/>
      <c r="E275" s="4"/>
      <c r="F275" s="17" t="s">
        <v>1017</v>
      </c>
      <c r="G275" s="380"/>
      <c r="H275" s="427" t="str">
        <f>O274</f>
        <v>Potencia nominal</v>
      </c>
      <c r="I275" s="4"/>
      <c r="J275" s="4"/>
      <c r="K275" s="4"/>
      <c r="L275" s="4"/>
      <c r="M275" s="4"/>
      <c r="N275" s="4"/>
      <c r="O275" s="537">
        <v>1</v>
      </c>
      <c r="P275" s="431" t="str">
        <f>IF(O274="Expectativa de generación anual","kWh/año",(IF(O274="Potencia nominal","kW")))</f>
        <v>kW</v>
      </c>
      <c r="Q275" s="4"/>
    </row>
    <row r="276" spans="1:17" x14ac:dyDescent="0.2">
      <c r="A276" s="2"/>
      <c r="B276" s="2"/>
      <c r="C276" s="3"/>
      <c r="D276" s="4"/>
      <c r="E276" s="4"/>
      <c r="F276" s="17" t="s">
        <v>1018</v>
      </c>
      <c r="G276" s="380"/>
      <c r="H276" s="429"/>
      <c r="I276" s="4"/>
      <c r="J276" s="4"/>
      <c r="K276" s="4"/>
      <c r="L276" s="4"/>
      <c r="M276" s="4"/>
      <c r="N276" s="4"/>
      <c r="O276" s="532">
        <v>24</v>
      </c>
      <c r="P276" s="324" t="s">
        <v>787</v>
      </c>
      <c r="Q276" s="4"/>
    </row>
    <row r="277" spans="1:17" x14ac:dyDescent="0.2">
      <c r="A277" s="2"/>
      <c r="B277" s="2"/>
      <c r="C277" s="3"/>
      <c r="D277" s="4"/>
      <c r="E277" s="4"/>
      <c r="F277" s="4"/>
      <c r="G277" s="4"/>
      <c r="H277" s="4"/>
      <c r="I277" s="4"/>
      <c r="J277" s="57"/>
      <c r="K277" s="4"/>
      <c r="L277" s="4"/>
      <c r="M277" s="4"/>
      <c r="N277" s="4"/>
      <c r="O277" s="4"/>
      <c r="P277" s="4"/>
      <c r="Q277" s="4"/>
    </row>
    <row r="278" spans="1:17" ht="15" x14ac:dyDescent="0.2">
      <c r="A278" s="2"/>
      <c r="B278" s="2"/>
      <c r="C278" s="3"/>
      <c r="D278" s="4"/>
      <c r="E278" s="4"/>
      <c r="F278" s="640" t="s">
        <v>36</v>
      </c>
      <c r="G278" s="640"/>
      <c r="H278" s="640"/>
      <c r="I278" s="640"/>
      <c r="J278" s="640"/>
      <c r="K278" s="640"/>
      <c r="L278" s="640"/>
      <c r="M278" s="640"/>
      <c r="N278" s="640"/>
      <c r="O278" s="640"/>
      <c r="P278" s="640"/>
      <c r="Q278" s="4"/>
    </row>
    <row r="279" spans="1:17" ht="9.9499999999999993" customHeight="1" x14ac:dyDescent="0.2">
      <c r="A279" s="2"/>
      <c r="B279" s="2"/>
      <c r="C279" s="3"/>
      <c r="D279" s="4"/>
      <c r="E279" s="4"/>
      <c r="F279" s="4"/>
      <c r="G279" s="4"/>
      <c r="H279" s="4"/>
      <c r="I279" s="4"/>
      <c r="J279" s="4"/>
      <c r="K279" s="4"/>
      <c r="L279" s="4"/>
      <c r="M279" s="4"/>
      <c r="N279" s="4"/>
      <c r="O279" s="4"/>
      <c r="P279" s="4"/>
      <c r="Q279" s="4"/>
    </row>
    <row r="280" spans="1:17" x14ac:dyDescent="0.2">
      <c r="A280" s="2"/>
      <c r="B280" s="2"/>
      <c r="C280" s="3"/>
      <c r="D280" s="4"/>
      <c r="E280" s="4"/>
      <c r="F280" s="17" t="s">
        <v>40</v>
      </c>
      <c r="G280" s="17"/>
      <c r="H280" s="17"/>
      <c r="I280" s="19">
        <f>Datos_energia!H224</f>
        <v>2.5868280000000001</v>
      </c>
      <c r="J280" s="324" t="s">
        <v>39</v>
      </c>
      <c r="K280" s="4"/>
      <c r="L280" s="4"/>
      <c r="M280" s="4"/>
      <c r="N280" s="4"/>
      <c r="O280" s="4"/>
      <c r="P280" s="4"/>
      <c r="Q280" s="4"/>
    </row>
    <row r="281" spans="1:17" ht="15" thickBot="1" x14ac:dyDescent="0.25">
      <c r="A281" s="2"/>
      <c r="B281" s="2"/>
      <c r="C281" s="3"/>
      <c r="D281" s="4"/>
      <c r="E281" s="4"/>
      <c r="F281" s="4"/>
      <c r="G281" s="4"/>
      <c r="H281" s="4"/>
      <c r="I281" s="4"/>
      <c r="J281" s="4"/>
      <c r="K281" s="4"/>
      <c r="L281" s="4"/>
      <c r="M281" s="4"/>
      <c r="N281" s="4"/>
      <c r="O281" s="4"/>
      <c r="P281" s="4"/>
      <c r="Q281" s="4"/>
    </row>
    <row r="282" spans="1:17" x14ac:dyDescent="0.2">
      <c r="A282" s="2"/>
      <c r="B282" s="2"/>
      <c r="C282" s="3"/>
      <c r="D282" s="4"/>
      <c r="E282" s="4"/>
      <c r="F282" s="418"/>
      <c r="G282" s="419"/>
      <c r="H282" s="419"/>
      <c r="I282" s="419"/>
      <c r="J282" s="420"/>
      <c r="K282" s="4"/>
      <c r="L282" s="4"/>
      <c r="M282" s="4"/>
      <c r="N282" s="4"/>
      <c r="O282" s="4"/>
      <c r="P282" s="4"/>
      <c r="Q282" s="4"/>
    </row>
    <row r="283" spans="1:17" x14ac:dyDescent="0.2">
      <c r="A283" s="2"/>
      <c r="B283" s="2"/>
      <c r="C283" s="3"/>
      <c r="D283" s="4"/>
      <c r="E283" s="4"/>
      <c r="F283" s="421"/>
      <c r="G283" s="415"/>
      <c r="H283" s="415"/>
      <c r="I283" s="560" t="s">
        <v>689</v>
      </c>
      <c r="J283" s="638"/>
      <c r="K283" s="4"/>
      <c r="L283" s="4"/>
      <c r="M283" s="4"/>
      <c r="N283" s="4"/>
      <c r="O283" s="4"/>
      <c r="P283" s="4"/>
      <c r="Q283" s="4"/>
    </row>
    <row r="284" spans="1:17" x14ac:dyDescent="0.2">
      <c r="A284" s="2"/>
      <c r="B284" s="2"/>
      <c r="C284" s="3"/>
      <c r="D284" s="4"/>
      <c r="E284" s="4"/>
      <c r="F284" s="421"/>
      <c r="G284" s="415"/>
      <c r="H284" s="415"/>
      <c r="I284" s="560"/>
      <c r="J284" s="638"/>
      <c r="K284" s="4"/>
      <c r="L284" s="4"/>
      <c r="M284" s="4"/>
      <c r="N284" s="4"/>
      <c r="O284" s="4"/>
      <c r="P284" s="4"/>
      <c r="Q284" s="4"/>
    </row>
    <row r="285" spans="1:17" x14ac:dyDescent="0.2">
      <c r="A285" s="2"/>
      <c r="B285" s="2"/>
      <c r="C285" s="3"/>
      <c r="D285" s="4"/>
      <c r="E285" s="4"/>
      <c r="F285" s="421"/>
      <c r="G285" s="415"/>
      <c r="H285" s="415"/>
      <c r="I285" s="415"/>
      <c r="J285" s="426"/>
      <c r="K285" s="4"/>
      <c r="L285" s="4"/>
      <c r="M285" s="4"/>
      <c r="N285" s="4"/>
      <c r="O285" s="4"/>
      <c r="P285" s="4"/>
      <c r="Q285" s="4"/>
    </row>
    <row r="286" spans="1:17" x14ac:dyDescent="0.2">
      <c r="A286" s="2"/>
      <c r="B286" s="2"/>
      <c r="C286" s="3"/>
      <c r="D286" s="4"/>
      <c r="E286" s="4"/>
      <c r="F286" s="421"/>
      <c r="G286" s="415"/>
      <c r="H286" s="415"/>
      <c r="I286" s="641">
        <f>ROUND(16.4*$I$280,0)</f>
        <v>42</v>
      </c>
      <c r="J286" s="639" t="s">
        <v>690</v>
      </c>
      <c r="K286" s="4"/>
      <c r="L286" s="4"/>
      <c r="M286" s="4"/>
      <c r="N286" s="4"/>
      <c r="O286" s="4"/>
      <c r="P286" s="4"/>
      <c r="Q286" s="4"/>
    </row>
    <row r="287" spans="1:17" x14ac:dyDescent="0.2">
      <c r="A287" s="2"/>
      <c r="B287" s="2"/>
      <c r="C287" s="3"/>
      <c r="D287" s="4"/>
      <c r="E287" s="4"/>
      <c r="F287" s="421"/>
      <c r="G287" s="415"/>
      <c r="H287" s="415"/>
      <c r="I287" s="641"/>
      <c r="J287" s="639"/>
      <c r="K287" s="4"/>
      <c r="L287" s="4"/>
      <c r="M287" s="4"/>
      <c r="N287" s="4"/>
      <c r="O287" s="4"/>
      <c r="P287" s="4"/>
      <c r="Q287" s="4"/>
    </row>
    <row r="288" spans="1:17" ht="15" thickBot="1" x14ac:dyDescent="0.25">
      <c r="A288" s="2"/>
      <c r="B288" s="2"/>
      <c r="C288" s="3"/>
      <c r="D288" s="4"/>
      <c r="E288" s="4"/>
      <c r="F288" s="423"/>
      <c r="G288" s="424"/>
      <c r="H288" s="424"/>
      <c r="I288" s="424"/>
      <c r="J288" s="425"/>
      <c r="K288" s="4"/>
      <c r="L288" s="4"/>
      <c r="M288" s="4"/>
      <c r="N288" s="4"/>
      <c r="O288" s="4"/>
      <c r="P288" s="4"/>
      <c r="Q288" s="4"/>
    </row>
    <row r="289" spans="1:16" s="4" customFormat="1" x14ac:dyDescent="0.2">
      <c r="A289" s="2"/>
      <c r="B289" s="2"/>
      <c r="C289" s="3"/>
    </row>
    <row r="290" spans="1:16" s="4" customFormat="1" ht="20.100000000000001" customHeight="1" x14ac:dyDescent="0.2">
      <c r="A290" s="2"/>
      <c r="B290" s="2"/>
      <c r="C290" s="3"/>
      <c r="F290" s="636" t="s">
        <v>1103</v>
      </c>
      <c r="G290" s="636"/>
      <c r="H290" s="636"/>
      <c r="I290" s="636"/>
      <c r="J290" s="636"/>
      <c r="K290" s="636"/>
      <c r="L290" s="636"/>
      <c r="M290" s="636"/>
      <c r="N290" s="636"/>
      <c r="O290" s="636"/>
      <c r="P290" s="636"/>
    </row>
    <row r="291" spans="1:16" s="4" customFormat="1" x14ac:dyDescent="0.2">
      <c r="A291" s="2"/>
      <c r="B291" s="2"/>
      <c r="C291" s="3"/>
    </row>
    <row r="292" spans="1:16" s="4" customFormat="1" x14ac:dyDescent="0.2">
      <c r="A292" s="2"/>
      <c r="B292" s="2"/>
      <c r="C292" s="3"/>
    </row>
  </sheetData>
  <sheetProtection algorithmName="SHA-512" hashValue="cSpo31ZAgVQxEanM5B1kBbS+jEkcQeT2ovuzZlJEge0ih3BhjkYl2epd0u1WKR2Lo9Cd8+wj6ibBQDjecDLnKg==" saltValue="dhSMnsEN8xEHLwwE2ZsBNw==" spinCount="100000" sheet="1" objects="1" scenarios="1"/>
  <mergeCells count="151">
    <mergeCell ref="F221:P221"/>
    <mergeCell ref="F227:P227"/>
    <mergeCell ref="F246:P246"/>
    <mergeCell ref="I212:I213"/>
    <mergeCell ref="I209:J210"/>
    <mergeCell ref="F244:I244"/>
    <mergeCell ref="J244:P244"/>
    <mergeCell ref="J212:J213"/>
    <mergeCell ref="F64:P64"/>
    <mergeCell ref="O124:P124"/>
    <mergeCell ref="F113:P113"/>
    <mergeCell ref="F71:P71"/>
    <mergeCell ref="F77:P77"/>
    <mergeCell ref="F96:P96"/>
    <mergeCell ref="F101:P101"/>
    <mergeCell ref="I100:J100"/>
    <mergeCell ref="F120:P120"/>
    <mergeCell ref="I85:I86"/>
    <mergeCell ref="F69:I69"/>
    <mergeCell ref="J69:P69"/>
    <mergeCell ref="I82:J83"/>
    <mergeCell ref="J85:J86"/>
    <mergeCell ref="I36:I37"/>
    <mergeCell ref="J36:J37"/>
    <mergeCell ref="F28:P28"/>
    <mergeCell ref="F47:P47"/>
    <mergeCell ref="F52:P52"/>
    <mergeCell ref="F126:P126"/>
    <mergeCell ref="J141:P141"/>
    <mergeCell ref="I134:I135"/>
    <mergeCell ref="O201:P201"/>
    <mergeCell ref="F40:P40"/>
    <mergeCell ref="I57:J58"/>
    <mergeCell ref="J60:J61"/>
    <mergeCell ref="E67:E68"/>
    <mergeCell ref="F67:I67"/>
    <mergeCell ref="C3:L3"/>
    <mergeCell ref="E18:E19"/>
    <mergeCell ref="F18:I18"/>
    <mergeCell ref="J18:P18"/>
    <mergeCell ref="F19:I19"/>
    <mergeCell ref="J19:P19"/>
    <mergeCell ref="E43:E44"/>
    <mergeCell ref="F43:I43"/>
    <mergeCell ref="J43:P43"/>
    <mergeCell ref="F44:I44"/>
    <mergeCell ref="J44:P44"/>
    <mergeCell ref="F20:I20"/>
    <mergeCell ref="J20:P20"/>
    <mergeCell ref="J67:P67"/>
    <mergeCell ref="F68:I68"/>
    <mergeCell ref="J68:P68"/>
    <mergeCell ref="O49:P49"/>
    <mergeCell ref="I60:I61"/>
    <mergeCell ref="F45:I45"/>
    <mergeCell ref="J45:P45"/>
    <mergeCell ref="F22:P22"/>
    <mergeCell ref="I33:J34"/>
    <mergeCell ref="E166:E167"/>
    <mergeCell ref="F166:I166"/>
    <mergeCell ref="J166:P166"/>
    <mergeCell ref="F167:I167"/>
    <mergeCell ref="J167:P167"/>
    <mergeCell ref="E141:E142"/>
    <mergeCell ref="E92:E93"/>
    <mergeCell ref="F92:I92"/>
    <mergeCell ref="J92:P92"/>
    <mergeCell ref="F93:I93"/>
    <mergeCell ref="J93:P93"/>
    <mergeCell ref="E116:E117"/>
    <mergeCell ref="F116:I116"/>
    <mergeCell ref="J116:P116"/>
    <mergeCell ref="F117:I117"/>
    <mergeCell ref="J117:P117"/>
    <mergeCell ref="O122:P122"/>
    <mergeCell ref="F94:I94"/>
    <mergeCell ref="J94:P94"/>
    <mergeCell ref="I106:J107"/>
    <mergeCell ref="I131:J132"/>
    <mergeCell ref="J109:J110"/>
    <mergeCell ref="I286:I287"/>
    <mergeCell ref="J286:J287"/>
    <mergeCell ref="I258:J259"/>
    <mergeCell ref="I283:J284"/>
    <mergeCell ref="J261:J262"/>
    <mergeCell ref="F270:I270"/>
    <mergeCell ref="J270:P270"/>
    <mergeCell ref="E242:E243"/>
    <mergeCell ref="F242:I242"/>
    <mergeCell ref="J242:P242"/>
    <mergeCell ref="F243:I243"/>
    <mergeCell ref="J243:P243"/>
    <mergeCell ref="E268:E269"/>
    <mergeCell ref="F268:I268"/>
    <mergeCell ref="J268:P268"/>
    <mergeCell ref="F269:I269"/>
    <mergeCell ref="J269:P269"/>
    <mergeCell ref="F253:P253"/>
    <mergeCell ref="F278:P278"/>
    <mergeCell ref="F272:P272"/>
    <mergeCell ref="O274:P274"/>
    <mergeCell ref="I261:I262"/>
    <mergeCell ref="F265:P265"/>
    <mergeCell ref="F290:P290"/>
    <mergeCell ref="F204:P204"/>
    <mergeCell ref="F194:P194"/>
    <mergeCell ref="F143:I143"/>
    <mergeCell ref="I109:I110"/>
    <mergeCell ref="J118:P118"/>
    <mergeCell ref="J142:P142"/>
    <mergeCell ref="J143:P143"/>
    <mergeCell ref="F192:I192"/>
    <mergeCell ref="J192:P192"/>
    <mergeCell ref="F118:I118"/>
    <mergeCell ref="J134:J135"/>
    <mergeCell ref="J183:J184"/>
    <mergeCell ref="I158:J159"/>
    <mergeCell ref="I180:J181"/>
    <mergeCell ref="F142:I142"/>
    <mergeCell ref="I235:I236"/>
    <mergeCell ref="F219:I219"/>
    <mergeCell ref="J219:P219"/>
    <mergeCell ref="F217:I217"/>
    <mergeCell ref="J217:P217"/>
    <mergeCell ref="F218:I218"/>
    <mergeCell ref="J218:P218"/>
    <mergeCell ref="F141:I141"/>
    <mergeCell ref="E190:E191"/>
    <mergeCell ref="F190:I190"/>
    <mergeCell ref="J190:P190"/>
    <mergeCell ref="F89:P89"/>
    <mergeCell ref="F138:P138"/>
    <mergeCell ref="F187:P187"/>
    <mergeCell ref="F239:P239"/>
    <mergeCell ref="E217:E218"/>
    <mergeCell ref="I232:J233"/>
    <mergeCell ref="J235:J236"/>
    <mergeCell ref="F191:I191"/>
    <mergeCell ref="J191:P191"/>
    <mergeCell ref="F145:P145"/>
    <mergeCell ref="F151:P151"/>
    <mergeCell ref="I161:I162"/>
    <mergeCell ref="J161:J162"/>
    <mergeCell ref="I183:I184"/>
    <mergeCell ref="F168:I168"/>
    <mergeCell ref="J168:P168"/>
    <mergeCell ref="O147:P147"/>
    <mergeCell ref="O149:P149"/>
    <mergeCell ref="F170:P170"/>
    <mergeCell ref="F175:P175"/>
    <mergeCell ref="O173:P173"/>
  </mergeCells>
  <conditionalFormatting sqref="O276:P276">
    <cfRule type="expression" dxfId="57" priority="2">
      <formula>$O$274="Expectativa de generación anual"</formula>
    </cfRule>
  </conditionalFormatting>
  <hyperlinks>
    <hyperlink ref="G10" location="ENERGIA!E141" display="F. Biodigestores" xr:uid="{AC00C341-2BBF-4DC9-8569-03D11132F695}"/>
    <hyperlink ref="G6" location="ENERGIA!E43" display="B. Paneles solares fotovoltaicos" xr:uid="{603D5952-F9D7-4DD8-BC4B-86FE52283E59}"/>
    <hyperlink ref="G8" location="ENERGIA!E92" display="D. Lámparas solares" xr:uid="{06B23EDC-7C6F-4C3C-A7FA-81C925AA97E2}"/>
    <hyperlink ref="G7" location="ENERGIA!E67" display="C. Cercas eléctricas fotovoltaicas" xr:uid="{71E75851-4C46-4284-A4C1-4235F8ADC7D9}"/>
    <hyperlink ref="G9" location="ENERGIA!E116" display="E. Calderas de biomasa" xr:uid="{F3E94FF7-33D2-4D84-91D3-D4C70FAF250A}"/>
    <hyperlink ref="G11" location="ENERGIA!E166" display="G. Paneles solares térmicos" xr:uid="{7C873CC1-618A-41B2-B4DC-576EA6F5D90A}"/>
    <hyperlink ref="G12" location="ENERGIA!E190" display="H. Secadores solares" xr:uid="{2292D41F-FDC9-41DC-A74E-FE87BA9EB762}"/>
    <hyperlink ref="G13" location="ENERGIA!E217" display="I. Alimentadores fotovoltaicos" xr:uid="{729CC1A0-DC8F-462C-826A-FC9D01FC53C3}"/>
    <hyperlink ref="G14" location="ENERGIA!E242" display="J. Oxigenadores fotovoltaicos" xr:uid="{99F9EA4A-B35A-4AF6-8CA7-4B7F0CD6BA87}"/>
    <hyperlink ref="G15" location="ENERGIA!E268" display="K. Minigeneradoras hidráulicas" xr:uid="{9829FE51-5C50-4C16-808F-C46573D0217D}"/>
    <hyperlink ref="G5" location="ENERGIA!E18" display="A. Bombas de agua solares" xr:uid="{F8E1E0F1-0BBE-44C1-8834-79FE7D53CCB5}"/>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1777D77C-91FD-460F-86E6-0207917DAF78}">
          <x14:formula1>
            <xm:f>Datos_energia!$H$93:$H$94</xm:f>
          </x14:formula1>
          <xm:sqref>O149</xm:sqref>
        </x14:dataValidation>
        <x14:dataValidation type="list" allowBlank="1" showInputMessage="1" showErrorMessage="1" xr:uid="{8857C8C1-E2AF-419D-A452-D88802D0959A}">
          <x14:formula1>
            <xm:f>Datos_energia!$F$5:$G$5</xm:f>
          </x14:formula1>
          <xm:sqref>O49</xm:sqref>
        </x14:dataValidation>
        <x14:dataValidation type="list" allowBlank="1" showInputMessage="1" showErrorMessage="1" xr:uid="{F0D3BA25-2AB4-42CC-9A0C-F4C5BAEA71D7}">
          <x14:formula1>
            <xm:f>Datos_energia!$C$76:$C$81</xm:f>
          </x14:formula1>
          <xm:sqref>O122</xm:sqref>
        </x14:dataValidation>
        <x14:dataValidation type="list" allowBlank="1" showInputMessage="1" showErrorMessage="1" xr:uid="{51FAD9C8-0AA2-4BEF-AAEC-8AD458190B5A}">
          <x14:formula1>
            <xm:f>Datos_energia!$C$73:$C$75</xm:f>
          </x14:formula1>
          <xm:sqref>O124</xm:sqref>
        </x14:dataValidation>
        <x14:dataValidation type="list" allowBlank="1" showInputMessage="1" showErrorMessage="1" xr:uid="{81A4DE43-A507-4FED-9AD8-E9623CC59966}">
          <x14:formula1>
            <xm:f>Datos_energia!$G$93:$G$95</xm:f>
          </x14:formula1>
          <xm:sqref>O147</xm:sqref>
        </x14:dataValidation>
        <x14:dataValidation type="list" allowBlank="1" showInputMessage="1" showErrorMessage="1" xr:uid="{D2DC3F93-FB57-4C5A-8C90-9D0B8A237A36}">
          <x14:formula1>
            <xm:f>Datos_energia!$C$147:$C$148</xm:f>
          </x14:formula1>
          <xm:sqref>O173</xm:sqref>
        </x14:dataValidation>
        <x14:dataValidation type="list" allowBlank="1" showInputMessage="1" showErrorMessage="1" xr:uid="{1F3BC717-C4AD-48CE-8974-80FA22E24FE2}">
          <x14:formula1>
            <xm:f>Datos_energia!$B$172:$B$174</xm:f>
          </x14:formula1>
          <xm:sqref>O201</xm:sqref>
        </x14:dataValidation>
        <x14:dataValidation type="list" allowBlank="1" showInputMessage="1" showErrorMessage="1" xr:uid="{9EAB6658-F4C4-427D-B6CE-646A8674FB9D}">
          <x14:formula1>
            <xm:f>Datos_energia!$F$218:$G$218</xm:f>
          </x14:formula1>
          <xm:sqref>O274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DD2B-60D4-4CA0-B0F4-5AEBD53ED180}">
  <dimension ref="A1:Q240"/>
  <sheetViews>
    <sheetView showGridLines="0" topLeftCell="C101" zoomScale="93" zoomScaleNormal="93" workbookViewId="0">
      <selection activeCell="I118" sqref="I118"/>
    </sheetView>
  </sheetViews>
  <sheetFormatPr baseColWidth="10" defaultColWidth="0" defaultRowHeight="14.25" zeroHeight="1" x14ac:dyDescent="0.2"/>
  <cols>
    <col min="1" max="1" width="1.75" customWidth="1"/>
    <col min="2" max="2" width="31" customWidth="1"/>
    <col min="3" max="3" width="14.625" customWidth="1"/>
    <col min="4" max="4" width="12.625" bestFit="1" customWidth="1"/>
    <col min="5" max="5" width="11" customWidth="1"/>
    <col min="6" max="6" width="31.125" customWidth="1"/>
    <col min="7" max="7" width="14.875" customWidth="1"/>
    <col min="8" max="8" width="21.625" customWidth="1"/>
    <col min="9" max="11" width="11" customWidth="1"/>
    <col min="12" max="12" width="18.625" bestFit="1" customWidth="1"/>
    <col min="13" max="17" width="11" customWidth="1"/>
    <col min="18" max="16384" width="11" hidden="1"/>
  </cols>
  <sheetData>
    <row r="1" spans="1:9" x14ac:dyDescent="0.2"/>
    <row r="2" spans="1:9" x14ac:dyDescent="0.2">
      <c r="A2" s="105"/>
      <c r="B2" s="107"/>
      <c r="C2" s="107"/>
      <c r="D2" s="107"/>
      <c r="E2" s="107"/>
      <c r="F2" s="160"/>
      <c r="G2" s="160"/>
      <c r="H2" s="161"/>
      <c r="I2" s="162"/>
    </row>
    <row r="3" spans="1:9" ht="15" x14ac:dyDescent="0.2">
      <c r="A3" s="109"/>
      <c r="B3" s="20" t="s">
        <v>541</v>
      </c>
      <c r="C3" s="20"/>
      <c r="D3" s="20"/>
      <c r="E3" s="1"/>
      <c r="F3" s="139"/>
      <c r="G3" s="139"/>
      <c r="H3" s="12"/>
      <c r="I3" s="140"/>
    </row>
    <row r="4" spans="1:9" x14ac:dyDescent="0.2">
      <c r="A4" s="109"/>
      <c r="B4" s="1"/>
      <c r="C4" s="1"/>
      <c r="D4" s="1"/>
      <c r="E4" s="1"/>
      <c r="F4" s="139"/>
      <c r="G4" s="139"/>
      <c r="H4" s="12"/>
      <c r="I4" s="140"/>
    </row>
    <row r="5" spans="1:9" ht="15" x14ac:dyDescent="0.2">
      <c r="A5" s="109"/>
      <c r="B5" s="133" t="s">
        <v>20</v>
      </c>
      <c r="C5" s="107"/>
      <c r="D5" s="108"/>
      <c r="E5" s="1"/>
      <c r="F5" s="120" t="s">
        <v>542</v>
      </c>
      <c r="G5" s="120" t="s">
        <v>334</v>
      </c>
      <c r="H5" s="12"/>
      <c r="I5" s="140"/>
    </row>
    <row r="6" spans="1:9" x14ac:dyDescent="0.2">
      <c r="A6" s="109"/>
      <c r="B6" s="135" t="s">
        <v>386</v>
      </c>
      <c r="C6" s="118" t="s">
        <v>53</v>
      </c>
      <c r="D6" s="213" t="str">
        <f>ENERGIA!O49</f>
        <v>Expectativa de generación anual</v>
      </c>
      <c r="E6" s="1"/>
      <c r="F6" s="139"/>
      <c r="G6" s="139"/>
      <c r="H6" s="12"/>
      <c r="I6" s="140"/>
    </row>
    <row r="7" spans="1:9" x14ac:dyDescent="0.2">
      <c r="A7" s="109"/>
      <c r="B7" s="135" t="s">
        <v>543</v>
      </c>
      <c r="C7" s="118" t="s">
        <v>544</v>
      </c>
      <c r="D7" s="136">
        <f>ENERGIA!O50</f>
        <v>3000</v>
      </c>
      <c r="E7" s="1"/>
      <c r="F7" s="139"/>
      <c r="G7" s="139"/>
      <c r="H7" s="12"/>
      <c r="I7" s="140"/>
    </row>
    <row r="8" spans="1:9" ht="15" x14ac:dyDescent="0.2">
      <c r="A8" s="109"/>
      <c r="B8" s="163" t="s">
        <v>348</v>
      </c>
      <c r="C8" s="107"/>
      <c r="D8" s="108"/>
      <c r="E8" s="1"/>
      <c r="F8" s="163" t="s">
        <v>33</v>
      </c>
      <c r="G8" s="160"/>
      <c r="H8" s="155"/>
      <c r="I8" s="140"/>
    </row>
    <row r="9" spans="1:9" ht="15" x14ac:dyDescent="0.2">
      <c r="A9" s="109"/>
      <c r="B9" s="214" t="s">
        <v>545</v>
      </c>
      <c r="C9" s="1" t="s">
        <v>539</v>
      </c>
      <c r="D9" s="110">
        <v>4</v>
      </c>
      <c r="E9" s="1"/>
      <c r="F9" s="146" t="s">
        <v>546</v>
      </c>
      <c r="G9" s="8" t="s">
        <v>112</v>
      </c>
      <c r="H9" s="147">
        <f>+IF($D$6="Expectativa de generación anual",$D$7,IF($D$6="Potencia Nominal",$D$7*$D$9*$D$10))</f>
        <v>3000</v>
      </c>
      <c r="I9" s="140"/>
    </row>
    <row r="10" spans="1:9" ht="15" x14ac:dyDescent="0.2">
      <c r="A10" s="109"/>
      <c r="B10" s="150" t="s">
        <v>31</v>
      </c>
      <c r="C10" s="8" t="s">
        <v>37</v>
      </c>
      <c r="D10" s="110">
        <v>365</v>
      </c>
      <c r="E10" s="1"/>
      <c r="F10" s="146" t="s">
        <v>40</v>
      </c>
      <c r="G10" s="8" t="s">
        <v>39</v>
      </c>
      <c r="H10" s="147">
        <f>+H9/1000*D11</f>
        <v>0.88590000000000002</v>
      </c>
      <c r="I10" s="140"/>
    </row>
    <row r="11" spans="1:9" ht="15" x14ac:dyDescent="0.2">
      <c r="A11" s="109"/>
      <c r="B11" s="150" t="s">
        <v>34</v>
      </c>
      <c r="C11" s="1" t="s">
        <v>38</v>
      </c>
      <c r="D11" s="110">
        <v>0.29530000000000001</v>
      </c>
      <c r="E11" s="1"/>
      <c r="F11" s="151" t="s">
        <v>378</v>
      </c>
      <c r="G11" s="131" t="s">
        <v>44</v>
      </c>
      <c r="H11" s="152">
        <f>+$H$10*D12</f>
        <v>14.528759999999998</v>
      </c>
      <c r="I11" s="140"/>
    </row>
    <row r="12" spans="1:9" ht="15" x14ac:dyDescent="0.2">
      <c r="A12" s="109"/>
      <c r="B12" s="151" t="s">
        <v>41</v>
      </c>
      <c r="C12" s="153" t="s">
        <v>43</v>
      </c>
      <c r="D12" s="132">
        <v>16.399999999999999</v>
      </c>
      <c r="E12" s="1"/>
      <c r="F12" s="318"/>
      <c r="G12" s="320"/>
      <c r="H12" s="320"/>
      <c r="I12" s="140"/>
    </row>
    <row r="13" spans="1:9" ht="15" x14ac:dyDescent="0.2">
      <c r="A13" s="109"/>
      <c r="B13" s="134" t="s">
        <v>62</v>
      </c>
      <c r="C13" s="154" t="s">
        <v>45</v>
      </c>
      <c r="D13" s="155">
        <v>0</v>
      </c>
      <c r="E13" s="1"/>
      <c r="F13" s="320" t="s">
        <v>1090</v>
      </c>
      <c r="G13" s="481">
        <f>+($D$13+$D$14)</f>
        <v>0.88590000000000002</v>
      </c>
      <c r="H13" s="321"/>
      <c r="I13" s="140"/>
    </row>
    <row r="14" spans="1:9" x14ac:dyDescent="0.2">
      <c r="A14" s="109"/>
      <c r="B14" s="151"/>
      <c r="C14" s="153" t="s">
        <v>46</v>
      </c>
      <c r="D14" s="164">
        <f>+H10</f>
        <v>0.88590000000000002</v>
      </c>
      <c r="E14" s="1"/>
      <c r="F14" s="320" t="s">
        <v>1093</v>
      </c>
      <c r="G14" s="481">
        <f>$D$13</f>
        <v>0</v>
      </c>
      <c r="H14" s="322"/>
      <c r="I14" s="110"/>
    </row>
    <row r="15" spans="1:9" ht="15" x14ac:dyDescent="0.2">
      <c r="A15" s="129"/>
      <c r="B15" s="130"/>
      <c r="C15" s="156"/>
      <c r="D15" s="131"/>
      <c r="E15" s="131"/>
      <c r="F15" s="131"/>
      <c r="G15" s="131"/>
      <c r="H15" s="131"/>
      <c r="I15" s="132"/>
    </row>
    <row r="16" spans="1:9" x14ac:dyDescent="0.2"/>
    <row r="17" spans="1:9" x14ac:dyDescent="0.2">
      <c r="A17" s="105"/>
      <c r="B17" s="107"/>
      <c r="C17" s="107"/>
      <c r="D17" s="107"/>
      <c r="E17" s="107"/>
      <c r="F17" s="160"/>
      <c r="G17" s="160"/>
      <c r="H17" s="161"/>
      <c r="I17" s="162"/>
    </row>
    <row r="18" spans="1:9" ht="15" x14ac:dyDescent="0.2">
      <c r="A18" s="109"/>
      <c r="B18" s="20" t="s">
        <v>547</v>
      </c>
      <c r="C18" s="20"/>
      <c r="D18" s="20"/>
      <c r="E18" s="1"/>
      <c r="F18" s="318"/>
      <c r="G18" s="320"/>
      <c r="H18" s="320"/>
      <c r="I18" s="140"/>
    </row>
    <row r="19" spans="1:9" x14ac:dyDescent="0.2">
      <c r="A19" s="109"/>
      <c r="B19" s="1"/>
      <c r="C19" s="1"/>
      <c r="D19" s="1"/>
      <c r="E19" s="1"/>
      <c r="F19" s="320" t="s">
        <v>1090</v>
      </c>
      <c r="G19" s="480">
        <f>$H$24</f>
        <v>7883.9999999999991</v>
      </c>
      <c r="H19" s="321"/>
      <c r="I19" s="140"/>
    </row>
    <row r="20" spans="1:9" ht="15" x14ac:dyDescent="0.2">
      <c r="A20" s="109"/>
      <c r="B20" s="133" t="s">
        <v>20</v>
      </c>
      <c r="C20" s="107"/>
      <c r="D20" s="108"/>
      <c r="E20" s="1"/>
      <c r="F20" s="320" t="s">
        <v>1095</v>
      </c>
      <c r="G20" s="480">
        <f>$D$13</f>
        <v>0</v>
      </c>
      <c r="H20" s="322"/>
      <c r="I20" s="140"/>
    </row>
    <row r="21" spans="1:9" x14ac:dyDescent="0.2">
      <c r="A21" s="109"/>
      <c r="B21" s="135" t="s">
        <v>334</v>
      </c>
      <c r="C21" s="118" t="s">
        <v>52</v>
      </c>
      <c r="D21" s="213">
        <f>ENERGIA!O98</f>
        <v>150</v>
      </c>
      <c r="E21" s="1"/>
      <c r="F21" s="139"/>
      <c r="G21" s="139"/>
      <c r="H21" s="12"/>
      <c r="I21" s="140"/>
    </row>
    <row r="22" spans="1:9" x14ac:dyDescent="0.2">
      <c r="A22" s="109"/>
      <c r="B22" s="135" t="s">
        <v>299</v>
      </c>
      <c r="C22" s="118" t="s">
        <v>53</v>
      </c>
      <c r="D22" s="213">
        <f>ENERGIA!O99</f>
        <v>12</v>
      </c>
      <c r="E22" s="1"/>
      <c r="F22" s="139"/>
      <c r="G22" s="139"/>
      <c r="H22" s="12"/>
      <c r="I22" s="140"/>
    </row>
    <row r="23" spans="1:9" ht="15" x14ac:dyDescent="0.2">
      <c r="A23" s="109"/>
      <c r="B23" s="163" t="s">
        <v>348</v>
      </c>
      <c r="C23" s="107"/>
      <c r="D23" s="108"/>
      <c r="E23" s="1"/>
      <c r="F23" s="163" t="s">
        <v>33</v>
      </c>
      <c r="G23" s="160"/>
      <c r="H23" s="155"/>
      <c r="I23" s="140"/>
    </row>
    <row r="24" spans="1:9" ht="15" x14ac:dyDescent="0.2">
      <c r="A24" s="109"/>
      <c r="B24" s="214" t="s">
        <v>548</v>
      </c>
      <c r="C24" s="1" t="s">
        <v>539</v>
      </c>
      <c r="D24" s="110">
        <v>12</v>
      </c>
      <c r="E24" s="1"/>
      <c r="F24" s="146" t="s">
        <v>540</v>
      </c>
      <c r="G24" s="8" t="s">
        <v>112</v>
      </c>
      <c r="H24" s="147">
        <f>+$D$21/1000*$D$22*$D$24*$D$25</f>
        <v>7883.9999999999991</v>
      </c>
      <c r="I24" s="140"/>
    </row>
    <row r="25" spans="1:9" ht="15" x14ac:dyDescent="0.2">
      <c r="A25" s="109"/>
      <c r="B25" s="150" t="s">
        <v>31</v>
      </c>
      <c r="C25" s="8" t="s">
        <v>37</v>
      </c>
      <c r="D25" s="110">
        <v>365</v>
      </c>
      <c r="E25" s="1"/>
      <c r="F25" s="146" t="s">
        <v>40</v>
      </c>
      <c r="G25" s="8" t="s">
        <v>39</v>
      </c>
      <c r="H25" s="147">
        <f>+$H$24/1000*$D$26</f>
        <v>2.3281451999999998</v>
      </c>
      <c r="I25" s="140"/>
    </row>
    <row r="26" spans="1:9" ht="15" x14ac:dyDescent="0.2">
      <c r="A26" s="109"/>
      <c r="B26" s="150" t="s">
        <v>34</v>
      </c>
      <c r="C26" s="1" t="s">
        <v>38</v>
      </c>
      <c r="D26" s="110">
        <v>0.29530000000000001</v>
      </c>
      <c r="E26" s="1"/>
      <c r="F26" s="151" t="s">
        <v>378</v>
      </c>
      <c r="G26" s="131" t="s">
        <v>44</v>
      </c>
      <c r="H26" s="152">
        <f>+$H$25*$D$27</f>
        <v>38.181581279999996</v>
      </c>
      <c r="I26" s="140"/>
    </row>
    <row r="27" spans="1:9" x14ac:dyDescent="0.2">
      <c r="A27" s="109"/>
      <c r="B27" s="151" t="s">
        <v>41</v>
      </c>
      <c r="C27" s="153" t="s">
        <v>43</v>
      </c>
      <c r="D27" s="132">
        <v>16.399999999999999</v>
      </c>
      <c r="E27" s="1"/>
      <c r="F27" s="139"/>
      <c r="G27" s="139"/>
      <c r="H27" s="12"/>
      <c r="I27" s="140"/>
    </row>
    <row r="28" spans="1:9" x14ac:dyDescent="0.2">
      <c r="A28" s="210"/>
      <c r="B28" s="211"/>
      <c r="C28" s="211"/>
      <c r="D28" s="211"/>
      <c r="E28" s="211"/>
      <c r="F28" s="211"/>
      <c r="G28" s="211"/>
      <c r="H28" s="211"/>
      <c r="I28" s="212"/>
    </row>
    <row r="29" spans="1:9" x14ac:dyDescent="0.2"/>
    <row r="30" spans="1:9" x14ac:dyDescent="0.2">
      <c r="A30" s="105"/>
      <c r="B30" s="107"/>
      <c r="C30" s="107"/>
      <c r="D30" s="107"/>
      <c r="E30" s="107"/>
      <c r="F30" s="160"/>
      <c r="G30" s="160"/>
      <c r="H30" s="161"/>
      <c r="I30" s="162"/>
    </row>
    <row r="31" spans="1:9" ht="15" x14ac:dyDescent="0.2">
      <c r="A31" s="109"/>
      <c r="B31" s="20" t="s">
        <v>538</v>
      </c>
      <c r="C31" s="20"/>
      <c r="D31" s="20"/>
      <c r="E31" s="1"/>
      <c r="F31" s="139"/>
      <c r="G31" s="139"/>
      <c r="H31" s="12"/>
      <c r="I31" s="140"/>
    </row>
    <row r="32" spans="1:9" x14ac:dyDescent="0.2">
      <c r="A32" s="109"/>
      <c r="B32" s="1"/>
      <c r="C32" s="1"/>
      <c r="D32" s="1"/>
      <c r="E32" s="1"/>
      <c r="F32" s="139"/>
      <c r="G32" s="139"/>
      <c r="H32" s="12"/>
      <c r="I32" s="140"/>
    </row>
    <row r="33" spans="1:12" ht="15" x14ac:dyDescent="0.2">
      <c r="A33" s="109"/>
      <c r="B33" s="133" t="s">
        <v>20</v>
      </c>
      <c r="C33" s="107"/>
      <c r="D33" s="108"/>
      <c r="E33" s="1"/>
      <c r="F33" s="139"/>
      <c r="G33" s="139"/>
      <c r="H33" s="12"/>
      <c r="I33" s="140"/>
    </row>
    <row r="34" spans="1:12" x14ac:dyDescent="0.2">
      <c r="A34" s="109"/>
      <c r="B34" s="135" t="s">
        <v>334</v>
      </c>
      <c r="C34" s="118" t="s">
        <v>327</v>
      </c>
      <c r="D34" s="213">
        <f>ENERGIA!O24</f>
        <v>58</v>
      </c>
      <c r="E34" s="1"/>
      <c r="F34" s="139"/>
      <c r="G34" s="139"/>
      <c r="H34" s="12"/>
      <c r="I34" s="140"/>
    </row>
    <row r="35" spans="1:12" x14ac:dyDescent="0.2">
      <c r="A35" s="109"/>
      <c r="B35" s="135" t="s">
        <v>299</v>
      </c>
      <c r="C35" s="118" t="s">
        <v>53</v>
      </c>
      <c r="D35" s="213">
        <f>ENERGIA!O25</f>
        <v>15</v>
      </c>
      <c r="E35" s="1"/>
      <c r="F35" s="139"/>
      <c r="G35" s="139"/>
      <c r="H35" s="12"/>
      <c r="I35" s="140"/>
    </row>
    <row r="36" spans="1:12" x14ac:dyDescent="0.2">
      <c r="A36" s="109"/>
      <c r="B36" s="135" t="s">
        <v>537</v>
      </c>
      <c r="C36" s="118" t="s">
        <v>539</v>
      </c>
      <c r="D36" s="213">
        <f>ENERGIA!O26</f>
        <v>8</v>
      </c>
      <c r="E36" s="1"/>
      <c r="F36" s="139"/>
      <c r="G36" s="139"/>
      <c r="H36" s="12"/>
      <c r="I36" s="140"/>
    </row>
    <row r="37" spans="1:12" ht="15" x14ac:dyDescent="0.2">
      <c r="A37" s="109"/>
      <c r="B37" s="163" t="s">
        <v>348</v>
      </c>
      <c r="C37" s="107"/>
      <c r="D37" s="108"/>
      <c r="E37" s="1"/>
      <c r="F37" s="163" t="s">
        <v>33</v>
      </c>
      <c r="G37" s="160"/>
      <c r="H37" s="155"/>
      <c r="I37" s="140"/>
    </row>
    <row r="38" spans="1:12" ht="15" x14ac:dyDescent="0.2">
      <c r="A38" s="109"/>
      <c r="B38" s="214"/>
      <c r="C38" s="1"/>
      <c r="D38" s="110"/>
      <c r="E38" s="1"/>
      <c r="F38" s="146" t="s">
        <v>540</v>
      </c>
      <c r="G38" s="8" t="s">
        <v>112</v>
      </c>
      <c r="H38" s="147">
        <f>+$D$34*$D$35*$D$36*$D$39</f>
        <v>2540400</v>
      </c>
      <c r="I38" s="140"/>
    </row>
    <row r="39" spans="1:12" ht="15" x14ac:dyDescent="0.2">
      <c r="A39" s="109"/>
      <c r="B39" s="150" t="s">
        <v>31</v>
      </c>
      <c r="C39" s="8" t="s">
        <v>37</v>
      </c>
      <c r="D39" s="110">
        <v>365</v>
      </c>
      <c r="E39" s="1"/>
      <c r="F39" s="146" t="s">
        <v>40</v>
      </c>
      <c r="G39" s="8" t="s">
        <v>39</v>
      </c>
      <c r="H39" s="147">
        <f>+$H$38/1000*$D$40</f>
        <v>750.18011999999999</v>
      </c>
      <c r="I39" s="140"/>
    </row>
    <row r="40" spans="1:12" ht="15" x14ac:dyDescent="0.2">
      <c r="A40" s="109"/>
      <c r="B40" s="150" t="s">
        <v>34</v>
      </c>
      <c r="C40" s="1" t="s">
        <v>38</v>
      </c>
      <c r="D40" s="110">
        <v>0.29530000000000001</v>
      </c>
      <c r="E40" s="1"/>
      <c r="F40" s="151" t="s">
        <v>378</v>
      </c>
      <c r="G40" s="131" t="s">
        <v>44</v>
      </c>
      <c r="H40" s="152">
        <f>+$H$39*$D$41</f>
        <v>12302.953967999998</v>
      </c>
      <c r="I40" s="140"/>
    </row>
    <row r="41" spans="1:12" ht="15" x14ac:dyDescent="0.2">
      <c r="A41" s="109"/>
      <c r="B41" s="151" t="s">
        <v>41</v>
      </c>
      <c r="C41" s="153" t="s">
        <v>43</v>
      </c>
      <c r="D41" s="132">
        <v>16.399999999999999</v>
      </c>
      <c r="E41" s="1"/>
      <c r="F41" s="318"/>
      <c r="G41" s="320"/>
      <c r="H41" s="320"/>
      <c r="I41" s="140"/>
    </row>
    <row r="42" spans="1:12" ht="15" x14ac:dyDescent="0.2">
      <c r="A42" s="109"/>
      <c r="B42" s="134" t="s">
        <v>62</v>
      </c>
      <c r="C42" s="154" t="s">
        <v>45</v>
      </c>
      <c r="D42" s="155"/>
      <c r="E42" s="1"/>
      <c r="F42" s="320" t="s">
        <v>1090</v>
      </c>
      <c r="G42" s="481">
        <f>+($D$42+$D$43)</f>
        <v>750.18011999999999</v>
      </c>
      <c r="H42" s="481"/>
      <c r="I42" s="140"/>
    </row>
    <row r="43" spans="1:12" x14ac:dyDescent="0.2">
      <c r="A43" s="109"/>
      <c r="B43" s="151"/>
      <c r="C43" s="153" t="s">
        <v>46</v>
      </c>
      <c r="D43" s="164">
        <f>+H39</f>
        <v>750.18011999999999</v>
      </c>
      <c r="E43" s="1"/>
      <c r="F43" s="320" t="s">
        <v>1092</v>
      </c>
      <c r="G43" s="481">
        <f>$D$42</f>
        <v>0</v>
      </c>
      <c r="H43" s="482"/>
      <c r="I43" s="110"/>
    </row>
    <row r="44" spans="1:12" x14ac:dyDescent="0.2">
      <c r="A44" s="210"/>
      <c r="B44" s="211"/>
      <c r="C44" s="211"/>
      <c r="D44" s="211"/>
      <c r="E44" s="211"/>
      <c r="F44" s="211"/>
      <c r="G44" s="211"/>
      <c r="H44" s="211"/>
      <c r="I44" s="212"/>
      <c r="L44" s="215"/>
    </row>
    <row r="45" spans="1:12" x14ac:dyDescent="0.2"/>
    <row r="46" spans="1:12" x14ac:dyDescent="0.2">
      <c r="A46" s="105"/>
      <c r="B46" s="107"/>
      <c r="C46" s="107"/>
      <c r="D46" s="107"/>
      <c r="E46" s="107"/>
      <c r="F46" s="160"/>
      <c r="G46" s="160"/>
      <c r="H46" s="161"/>
      <c r="I46" s="162"/>
    </row>
    <row r="47" spans="1:12" ht="15" x14ac:dyDescent="0.2">
      <c r="A47" s="109"/>
      <c r="B47" s="20" t="s">
        <v>549</v>
      </c>
      <c r="C47" s="20"/>
      <c r="D47" s="20"/>
      <c r="E47" s="1"/>
      <c r="F47" s="139"/>
      <c r="G47" s="139"/>
      <c r="H47" s="12"/>
      <c r="I47" s="140"/>
    </row>
    <row r="48" spans="1:12" x14ac:dyDescent="0.2">
      <c r="A48" s="109"/>
      <c r="B48" s="1"/>
      <c r="C48" s="1"/>
      <c r="D48" s="1"/>
      <c r="E48" s="1"/>
      <c r="F48" s="139"/>
      <c r="G48" s="139"/>
      <c r="H48" s="12"/>
      <c r="I48" s="140"/>
    </row>
    <row r="49" spans="1:10" ht="15" x14ac:dyDescent="0.2">
      <c r="A49" s="109"/>
      <c r="B49" s="133" t="s">
        <v>20</v>
      </c>
      <c r="C49" s="107"/>
      <c r="D49" s="108"/>
      <c r="E49" s="1"/>
      <c r="F49" s="139"/>
      <c r="G49" s="139"/>
      <c r="H49" s="12"/>
      <c r="I49" s="140"/>
    </row>
    <row r="50" spans="1:10" x14ac:dyDescent="0.2">
      <c r="A50" s="109"/>
      <c r="B50" s="135" t="s">
        <v>334</v>
      </c>
      <c r="C50" s="118" t="s">
        <v>327</v>
      </c>
      <c r="D50" s="213">
        <f>ENERGIA!O73</f>
        <v>10</v>
      </c>
      <c r="E50" s="1"/>
      <c r="F50" s="139"/>
      <c r="G50" s="139"/>
      <c r="H50" s="12"/>
      <c r="I50" s="140"/>
    </row>
    <row r="51" spans="1:10" x14ac:dyDescent="0.2">
      <c r="A51" s="109"/>
      <c r="B51" s="135" t="s">
        <v>299</v>
      </c>
      <c r="C51" s="118" t="s">
        <v>53</v>
      </c>
      <c r="D51" s="213">
        <f>ENERGIA!O74</f>
        <v>1</v>
      </c>
      <c r="E51" s="1"/>
      <c r="F51" s="139"/>
      <c r="G51" s="139"/>
      <c r="H51" s="12"/>
      <c r="I51" s="140"/>
    </row>
    <row r="52" spans="1:10" x14ac:dyDescent="0.2">
      <c r="A52" s="109"/>
      <c r="B52" s="135" t="s">
        <v>537</v>
      </c>
      <c r="C52" s="118" t="s">
        <v>539</v>
      </c>
      <c r="D52" s="213">
        <f>ENERGIA!O75</f>
        <v>24</v>
      </c>
      <c r="E52" s="1"/>
      <c r="F52" s="139"/>
      <c r="G52" s="139"/>
      <c r="H52" s="12"/>
      <c r="I52" s="140"/>
    </row>
    <row r="53" spans="1:10" ht="15" x14ac:dyDescent="0.2">
      <c r="A53" s="109"/>
      <c r="B53" s="163" t="s">
        <v>348</v>
      </c>
      <c r="C53" s="107"/>
      <c r="D53" s="108"/>
      <c r="E53" s="1"/>
      <c r="F53" s="163" t="s">
        <v>33</v>
      </c>
      <c r="G53" s="160"/>
      <c r="H53" s="155"/>
      <c r="I53" s="140"/>
    </row>
    <row r="54" spans="1:10" ht="15" x14ac:dyDescent="0.2">
      <c r="A54" s="109"/>
      <c r="B54" s="214"/>
      <c r="C54" s="1"/>
      <c r="D54" s="110"/>
      <c r="E54" s="1"/>
      <c r="F54" s="146" t="s">
        <v>540</v>
      </c>
      <c r="G54" s="8" t="s">
        <v>112</v>
      </c>
      <c r="H54" s="147">
        <f>+$D$50*$D$51*$D$52*$D$55</f>
        <v>87600</v>
      </c>
      <c r="I54" s="140"/>
    </row>
    <row r="55" spans="1:10" ht="15" x14ac:dyDescent="0.2">
      <c r="A55" s="109"/>
      <c r="B55" s="150" t="s">
        <v>31</v>
      </c>
      <c r="C55" s="8" t="s">
        <v>37</v>
      </c>
      <c r="D55" s="110">
        <v>365</v>
      </c>
      <c r="E55" s="1"/>
      <c r="F55" s="146" t="s">
        <v>40</v>
      </c>
      <c r="G55" s="8" t="s">
        <v>39</v>
      </c>
      <c r="H55" s="147">
        <f>+$H$54/1000*$D$56</f>
        <v>25.868279999999999</v>
      </c>
      <c r="I55" s="140"/>
    </row>
    <row r="56" spans="1:10" ht="15" x14ac:dyDescent="0.2">
      <c r="A56" s="109"/>
      <c r="B56" s="150" t="s">
        <v>34</v>
      </c>
      <c r="C56" s="1" t="s">
        <v>38</v>
      </c>
      <c r="D56" s="110">
        <v>0.29530000000000001</v>
      </c>
      <c r="E56" s="1"/>
      <c r="F56" s="151" t="s">
        <v>378</v>
      </c>
      <c r="G56" s="131" t="s">
        <v>44</v>
      </c>
      <c r="H56" s="152">
        <f>+$H$55*$D$57</f>
        <v>424.23979199999997</v>
      </c>
      <c r="I56" s="140"/>
    </row>
    <row r="57" spans="1:10" ht="15" x14ac:dyDescent="0.2">
      <c r="A57" s="109"/>
      <c r="B57" s="151" t="s">
        <v>41</v>
      </c>
      <c r="C57" s="153" t="s">
        <v>43</v>
      </c>
      <c r="D57" s="132">
        <v>16.399999999999999</v>
      </c>
      <c r="E57" s="1"/>
      <c r="F57" s="318"/>
      <c r="G57" s="320"/>
      <c r="H57" s="320"/>
      <c r="I57" s="140"/>
    </row>
    <row r="58" spans="1:10" ht="15" x14ac:dyDescent="0.2">
      <c r="A58" s="109"/>
      <c r="B58" s="134" t="s">
        <v>62</v>
      </c>
      <c r="C58" s="154" t="s">
        <v>45</v>
      </c>
      <c r="D58" s="155"/>
      <c r="E58" s="1"/>
      <c r="F58" s="320" t="s">
        <v>1090</v>
      </c>
      <c r="G58" s="481">
        <f>+(D58+D59)</f>
        <v>25.868279999999999</v>
      </c>
      <c r="H58" s="321"/>
      <c r="I58" s="140"/>
    </row>
    <row r="59" spans="1:10" x14ac:dyDescent="0.2">
      <c r="A59" s="109"/>
      <c r="B59" s="151"/>
      <c r="C59" s="153" t="s">
        <v>46</v>
      </c>
      <c r="D59" s="164">
        <f>+H55</f>
        <v>25.868279999999999</v>
      </c>
      <c r="E59" s="1"/>
      <c r="F59" s="320" t="s">
        <v>1094</v>
      </c>
      <c r="G59" s="481">
        <f>$D$42</f>
        <v>0</v>
      </c>
      <c r="H59" s="322"/>
      <c r="I59" s="110"/>
    </row>
    <row r="60" spans="1:10" x14ac:dyDescent="0.2">
      <c r="A60" s="210"/>
      <c r="B60" s="211"/>
      <c r="C60" s="211"/>
      <c r="D60" s="211"/>
      <c r="E60" s="211"/>
      <c r="F60" s="211"/>
      <c r="G60" s="211"/>
      <c r="H60" s="211"/>
      <c r="I60" s="212"/>
    </row>
    <row r="61" spans="1:10" x14ac:dyDescent="0.2"/>
    <row r="62" spans="1:10" x14ac:dyDescent="0.2">
      <c r="A62" s="435"/>
      <c r="B62" s="436"/>
      <c r="C62" s="436"/>
      <c r="D62" s="436"/>
      <c r="E62" s="436"/>
      <c r="F62" s="437"/>
      <c r="G62" s="437"/>
      <c r="H62" s="438"/>
      <c r="I62" s="439"/>
    </row>
    <row r="63" spans="1:10" ht="15" x14ac:dyDescent="0.2">
      <c r="A63" s="440"/>
      <c r="B63" s="20" t="s">
        <v>550</v>
      </c>
      <c r="C63" s="20"/>
      <c r="D63" s="20"/>
      <c r="E63" s="1"/>
      <c r="F63" s="139"/>
      <c r="G63" s="139"/>
      <c r="H63" s="12"/>
      <c r="I63" s="441"/>
      <c r="J63" s="216"/>
    </row>
    <row r="64" spans="1:10" x14ac:dyDescent="0.2">
      <c r="A64" s="440"/>
      <c r="B64" s="1"/>
      <c r="C64" s="1"/>
      <c r="D64" s="1"/>
      <c r="E64" s="1"/>
      <c r="F64" s="139"/>
      <c r="G64" s="139"/>
      <c r="H64" s="12"/>
      <c r="I64" s="441"/>
      <c r="J64" s="216"/>
    </row>
    <row r="65" spans="1:10" ht="15" x14ac:dyDescent="0.2">
      <c r="A65" s="440"/>
      <c r="B65" s="133" t="s">
        <v>20</v>
      </c>
      <c r="C65" s="107"/>
      <c r="D65" s="108"/>
      <c r="E65" s="1"/>
      <c r="F65" s="163" t="s">
        <v>33</v>
      </c>
      <c r="G65" s="160"/>
      <c r="H65" s="155"/>
      <c r="I65" s="441"/>
      <c r="J65" s="18"/>
    </row>
    <row r="66" spans="1:10" x14ac:dyDescent="0.2">
      <c r="A66" s="440"/>
      <c r="B66" s="135" t="s">
        <v>551</v>
      </c>
      <c r="C66" s="118" t="s">
        <v>53</v>
      </c>
      <c r="D66" s="213" t="str">
        <f>ENERGIA!O122</f>
        <v>Caña de azúcar (campo)</v>
      </c>
      <c r="E66" s="1"/>
      <c r="F66" s="146" t="s">
        <v>552</v>
      </c>
      <c r="G66" s="8" t="s">
        <v>553</v>
      </c>
      <c r="H66" s="147">
        <f>+$D$67*VLOOKUP($D$66,$C$73:$D$81,2,FALSE)*$D$86/1000/1000</f>
        <v>5.1609999999999996</v>
      </c>
      <c r="I66" s="441"/>
      <c r="J66" s="18"/>
    </row>
    <row r="67" spans="1:10" x14ac:dyDescent="0.2">
      <c r="A67" s="440"/>
      <c r="B67" s="135" t="s">
        <v>554</v>
      </c>
      <c r="C67" s="118" t="s">
        <v>555</v>
      </c>
      <c r="D67" s="213">
        <f>ENERGIA!O123</f>
        <v>1000</v>
      </c>
      <c r="E67" s="1"/>
      <c r="F67" s="146" t="s">
        <v>556</v>
      </c>
      <c r="G67" s="8" t="s">
        <v>553</v>
      </c>
      <c r="H67" s="147">
        <f>+$H$66*$D$70</f>
        <v>3.6126999999999994</v>
      </c>
      <c r="I67" s="441"/>
      <c r="J67" s="18"/>
    </row>
    <row r="68" spans="1:10" x14ac:dyDescent="0.2">
      <c r="A68" s="440"/>
      <c r="B68" s="135" t="s">
        <v>557</v>
      </c>
      <c r="C68" s="118" t="s">
        <v>539</v>
      </c>
      <c r="D68" s="213" t="str">
        <f>ENERGIA!O124</f>
        <v>Diésel2</v>
      </c>
      <c r="E68" s="1"/>
      <c r="F68" s="146" t="s">
        <v>558</v>
      </c>
      <c r="G68" s="8" t="s">
        <v>553</v>
      </c>
      <c r="H68" s="217">
        <f>+$H$67/$D$71</f>
        <v>4.5158749999999985</v>
      </c>
      <c r="I68" s="441"/>
      <c r="J68" s="18"/>
    </row>
    <row r="69" spans="1:10" ht="15" x14ac:dyDescent="0.2">
      <c r="A69" s="440"/>
      <c r="B69" s="163" t="s">
        <v>348</v>
      </c>
      <c r="C69" s="107"/>
      <c r="D69" s="108"/>
      <c r="E69" s="1"/>
      <c r="F69" s="146" t="s">
        <v>559</v>
      </c>
      <c r="G69" s="8" t="str">
        <f>+IF($D$68="","",IF($D$68="GLP","kg/año","gal/año"))</f>
        <v>gal/año</v>
      </c>
      <c r="H69" s="217">
        <f>+$H$68*1000*1000/VLOOKUP($D$68,$C$73:$E$75,3,FALSE)</f>
        <v>34403.049431754967</v>
      </c>
      <c r="I69" s="441"/>
    </row>
    <row r="70" spans="1:10" ht="15" x14ac:dyDescent="0.2">
      <c r="A70" s="440"/>
      <c r="B70" s="150" t="s">
        <v>560</v>
      </c>
      <c r="C70" s="8" t="s">
        <v>365</v>
      </c>
      <c r="D70" s="218">
        <v>0.7</v>
      </c>
      <c r="E70" s="1"/>
      <c r="F70" s="150" t="s">
        <v>561</v>
      </c>
      <c r="G70" s="432" t="s">
        <v>39</v>
      </c>
      <c r="H70" s="219">
        <f>+$H$68*VLOOKUP($D$68,$C$83:$D$85,2,FALSE)</f>
        <v>327.85252499999984</v>
      </c>
      <c r="I70" s="441"/>
    </row>
    <row r="71" spans="1:10" ht="15" x14ac:dyDescent="0.2">
      <c r="A71" s="440"/>
      <c r="B71" s="150" t="s">
        <v>562</v>
      </c>
      <c r="C71" s="8" t="s">
        <v>365</v>
      </c>
      <c r="D71" s="218">
        <v>0.8</v>
      </c>
      <c r="E71" s="1"/>
      <c r="F71" s="151" t="s">
        <v>378</v>
      </c>
      <c r="G71" s="153" t="s">
        <v>563</v>
      </c>
      <c r="H71" s="212">
        <f>+$H$70*$D$87</f>
        <v>5376.7814099999969</v>
      </c>
      <c r="I71" s="441"/>
    </row>
    <row r="72" spans="1:10" ht="15" x14ac:dyDescent="0.2">
      <c r="A72" s="440"/>
      <c r="B72" s="150" t="s">
        <v>564</v>
      </c>
      <c r="C72" s="8" t="s">
        <v>565</v>
      </c>
      <c r="D72" s="220"/>
      <c r="E72" s="1" t="s">
        <v>566</v>
      </c>
      <c r="I72" s="441"/>
    </row>
    <row r="73" spans="1:10" ht="15" x14ac:dyDescent="0.2">
      <c r="A73" s="440"/>
      <c r="B73" s="150"/>
      <c r="C73" s="221" t="s">
        <v>567</v>
      </c>
      <c r="D73" s="222">
        <v>40.799999999999997</v>
      </c>
      <c r="E73" s="121">
        <f>+D73*850/1000*3.785</f>
        <v>131.2638</v>
      </c>
      <c r="I73" s="441"/>
    </row>
    <row r="74" spans="1:10" ht="15" x14ac:dyDescent="0.2">
      <c r="A74" s="440"/>
      <c r="B74" s="150"/>
      <c r="C74" s="221" t="s">
        <v>568</v>
      </c>
      <c r="D74" s="222">
        <v>46.5</v>
      </c>
      <c r="E74" s="121">
        <f>+D74</f>
        <v>46.5</v>
      </c>
      <c r="I74" s="441"/>
    </row>
    <row r="75" spans="1:10" ht="15" x14ac:dyDescent="0.2">
      <c r="A75" s="440"/>
      <c r="B75" s="150"/>
      <c r="C75" s="433" t="s">
        <v>569</v>
      </c>
      <c r="D75" s="222">
        <v>39.700000000000003</v>
      </c>
      <c r="E75" s="121">
        <f t="shared" ref="E75" si="0">+D75*850/1000*3.785</f>
        <v>127.724825</v>
      </c>
      <c r="I75" s="441"/>
    </row>
    <row r="76" spans="1:10" ht="15" x14ac:dyDescent="0.2">
      <c r="A76" s="440"/>
      <c r="B76" s="150"/>
      <c r="C76" s="433" t="s">
        <v>570</v>
      </c>
      <c r="D76" s="209">
        <v>12.47</v>
      </c>
      <c r="E76" s="1"/>
      <c r="I76" s="441"/>
    </row>
    <row r="77" spans="1:10" ht="15" x14ac:dyDescent="0.2">
      <c r="A77" s="440"/>
      <c r="B77" s="150"/>
      <c r="C77" s="433" t="s">
        <v>571</v>
      </c>
      <c r="D77" s="209">
        <v>16.399999999999999</v>
      </c>
      <c r="E77" s="1"/>
      <c r="I77" s="441"/>
    </row>
    <row r="78" spans="1:10" ht="15" x14ac:dyDescent="0.2">
      <c r="A78" s="440"/>
      <c r="B78" s="150"/>
      <c r="C78" s="434" t="s">
        <v>572</v>
      </c>
      <c r="D78" s="209">
        <v>13.35</v>
      </c>
      <c r="E78" s="1"/>
      <c r="I78" s="441"/>
    </row>
    <row r="79" spans="1:10" ht="15" x14ac:dyDescent="0.2">
      <c r="A79" s="440"/>
      <c r="B79" s="208"/>
      <c r="C79" s="434" t="s">
        <v>573</v>
      </c>
      <c r="D79" s="209">
        <v>14.95</v>
      </c>
      <c r="E79" s="1"/>
      <c r="F79" s="318"/>
      <c r="G79" s="320" t="s">
        <v>1107</v>
      </c>
      <c r="H79" s="320" t="s">
        <v>1120</v>
      </c>
      <c r="I79" s="441"/>
    </row>
    <row r="80" spans="1:10" ht="15" x14ac:dyDescent="0.2">
      <c r="A80" s="440"/>
      <c r="B80" s="150"/>
      <c r="C80" s="434" t="s">
        <v>953</v>
      </c>
      <c r="D80" s="209">
        <v>19.850000000000001</v>
      </c>
      <c r="E80" s="1"/>
      <c r="F80" s="320" t="s">
        <v>1029</v>
      </c>
      <c r="G80" s="482">
        <f>H70</f>
        <v>327.85252499999984</v>
      </c>
      <c r="H80" s="482">
        <v>0</v>
      </c>
      <c r="I80" s="441"/>
    </row>
    <row r="81" spans="1:9" ht="15" x14ac:dyDescent="0.2">
      <c r="A81" s="440"/>
      <c r="B81" s="150"/>
      <c r="C81" s="434" t="s">
        <v>574</v>
      </c>
      <c r="D81" s="209">
        <v>19.260000000000002</v>
      </c>
      <c r="E81" s="1"/>
      <c r="F81" s="320" t="s">
        <v>30</v>
      </c>
      <c r="G81" s="482">
        <v>0</v>
      </c>
      <c r="H81" s="482">
        <f>H70</f>
        <v>327.85252499999984</v>
      </c>
      <c r="I81" s="441"/>
    </row>
    <row r="82" spans="1:9" ht="15" x14ac:dyDescent="0.2">
      <c r="A82" s="440"/>
      <c r="B82" s="150" t="s">
        <v>34</v>
      </c>
      <c r="C82" s="1" t="s">
        <v>575</v>
      </c>
      <c r="D82" s="110"/>
      <c r="E82" s="1"/>
      <c r="I82" s="441"/>
    </row>
    <row r="83" spans="1:9" ht="15" x14ac:dyDescent="0.2">
      <c r="A83" s="440"/>
      <c r="B83" s="150"/>
      <c r="C83" s="1" t="s">
        <v>567</v>
      </c>
      <c r="D83" s="110">
        <v>72.599999999999994</v>
      </c>
      <c r="E83" s="1"/>
      <c r="I83" s="441"/>
    </row>
    <row r="84" spans="1:9" ht="15" x14ac:dyDescent="0.2">
      <c r="A84" s="440"/>
      <c r="B84" s="150"/>
      <c r="C84" s="1" t="s">
        <v>568</v>
      </c>
      <c r="D84" s="110">
        <v>54.3</v>
      </c>
      <c r="E84" s="1"/>
      <c r="I84" s="441"/>
    </row>
    <row r="85" spans="1:9" ht="15" x14ac:dyDescent="0.2">
      <c r="A85" s="440"/>
      <c r="B85" s="150"/>
      <c r="C85" s="1" t="s">
        <v>569</v>
      </c>
      <c r="D85" s="110">
        <v>73.3</v>
      </c>
      <c r="E85" s="1"/>
      <c r="I85" s="441"/>
    </row>
    <row r="86" spans="1:9" ht="15" x14ac:dyDescent="0.2">
      <c r="A86" s="440"/>
      <c r="B86" s="150" t="s">
        <v>576</v>
      </c>
      <c r="C86" s="1" t="s">
        <v>577</v>
      </c>
      <c r="D86" s="110">
        <f>5*52</f>
        <v>260</v>
      </c>
      <c r="E86" s="1"/>
      <c r="I86" s="441"/>
    </row>
    <row r="87" spans="1:9" x14ac:dyDescent="0.2">
      <c r="A87" s="440"/>
      <c r="B87" s="151" t="s">
        <v>41</v>
      </c>
      <c r="C87" s="153" t="s">
        <v>43</v>
      </c>
      <c r="D87" s="132">
        <v>16.399999999999999</v>
      </c>
      <c r="E87" s="1"/>
      <c r="F87" s="139"/>
      <c r="G87" s="139"/>
      <c r="H87" s="12"/>
      <c r="I87" s="441"/>
    </row>
    <row r="88" spans="1:9" x14ac:dyDescent="0.2">
      <c r="A88" s="442"/>
      <c r="B88" s="443"/>
      <c r="C88" s="443"/>
      <c r="D88" s="443"/>
      <c r="E88" s="443"/>
      <c r="F88" s="443"/>
      <c r="G88" s="443"/>
      <c r="H88" s="443"/>
      <c r="I88" s="444"/>
    </row>
    <row r="89" spans="1:9" x14ac:dyDescent="0.2"/>
    <row r="90" spans="1:9" x14ac:dyDescent="0.2">
      <c r="A90" s="445"/>
      <c r="B90" s="446"/>
      <c r="C90" s="446"/>
      <c r="D90" s="446"/>
      <c r="E90" s="446"/>
      <c r="F90" s="446"/>
      <c r="G90" s="446"/>
      <c r="H90" s="446"/>
      <c r="I90" s="447"/>
    </row>
    <row r="91" spans="1:9" ht="15" x14ac:dyDescent="0.2">
      <c r="A91" s="449"/>
      <c r="B91" s="20" t="s">
        <v>280</v>
      </c>
      <c r="C91" s="182"/>
      <c r="D91" s="182"/>
      <c r="E91" s="182"/>
      <c r="F91" s="182"/>
      <c r="G91" s="182"/>
      <c r="H91" s="182"/>
      <c r="I91" s="448"/>
    </row>
    <row r="92" spans="1:9" x14ac:dyDescent="0.2">
      <c r="A92" s="449"/>
      <c r="I92" s="450"/>
    </row>
    <row r="93" spans="1:9" x14ac:dyDescent="0.2">
      <c r="A93" s="449"/>
      <c r="B93" s="87" t="s">
        <v>70</v>
      </c>
      <c r="C93" s="36"/>
      <c r="D93" s="36"/>
      <c r="E93" s="36"/>
      <c r="F93" s="36"/>
      <c r="G93" s="35" t="s">
        <v>96</v>
      </c>
      <c r="H93" s="36" t="s">
        <v>107</v>
      </c>
      <c r="I93" s="450"/>
    </row>
    <row r="94" spans="1:9" x14ac:dyDescent="0.2">
      <c r="A94" s="449"/>
      <c r="B94" s="666" t="s">
        <v>71</v>
      </c>
      <c r="C94" s="666"/>
      <c r="D94" s="666"/>
      <c r="E94" s="666"/>
      <c r="F94" s="666"/>
      <c r="G94" s="35" t="s">
        <v>97</v>
      </c>
      <c r="H94" s="36" t="s">
        <v>100</v>
      </c>
      <c r="I94" s="450"/>
    </row>
    <row r="95" spans="1:9" x14ac:dyDescent="0.2">
      <c r="A95" s="449"/>
      <c r="B95" s="36"/>
      <c r="C95" s="36"/>
      <c r="D95" s="36"/>
      <c r="E95" s="36"/>
      <c r="F95" s="36"/>
      <c r="G95" s="35" t="s">
        <v>98</v>
      </c>
      <c r="H95" s="36"/>
      <c r="I95" s="450"/>
    </row>
    <row r="96" spans="1:9" x14ac:dyDescent="0.2">
      <c r="A96" s="449"/>
      <c r="B96" s="87" t="s">
        <v>72</v>
      </c>
      <c r="C96" s="36"/>
      <c r="D96" s="36"/>
      <c r="E96" s="36"/>
      <c r="F96" s="36"/>
      <c r="I96" s="450"/>
    </row>
    <row r="97" spans="1:9" x14ac:dyDescent="0.2">
      <c r="A97" s="449"/>
      <c r="B97" s="657" t="s">
        <v>73</v>
      </c>
      <c r="C97" s="657"/>
      <c r="D97" s="657"/>
      <c r="E97" s="657"/>
      <c r="F97" s="35"/>
      <c r="I97" s="450"/>
    </row>
    <row r="98" spans="1:9" x14ac:dyDescent="0.2">
      <c r="A98" s="449"/>
      <c r="B98" s="35"/>
      <c r="C98" s="35"/>
      <c r="D98" s="35"/>
      <c r="E98" s="35"/>
      <c r="F98" s="35"/>
      <c r="I98" s="450"/>
    </row>
    <row r="99" spans="1:9" x14ac:dyDescent="0.2">
      <c r="A99" s="449"/>
      <c r="B99" s="88"/>
      <c r="C99" s="88"/>
      <c r="D99" s="36"/>
      <c r="E99" s="36"/>
      <c r="F99" s="36"/>
      <c r="I99" s="450"/>
    </row>
    <row r="100" spans="1:9" x14ac:dyDescent="0.2">
      <c r="A100" s="449"/>
      <c r="B100" s="667" t="s">
        <v>74</v>
      </c>
      <c r="C100" s="667"/>
      <c r="D100" s="667"/>
      <c r="E100" s="667"/>
      <c r="F100" s="36"/>
      <c r="I100" s="450"/>
    </row>
    <row r="101" spans="1:9" ht="30" x14ac:dyDescent="0.2">
      <c r="A101" s="449"/>
      <c r="B101" s="89" t="s">
        <v>75</v>
      </c>
      <c r="C101" s="668" t="s">
        <v>76</v>
      </c>
      <c r="D101" s="669"/>
      <c r="E101" s="670"/>
      <c r="F101" s="36"/>
      <c r="I101" s="450"/>
    </row>
    <row r="102" spans="1:9" ht="30" x14ac:dyDescent="0.2">
      <c r="A102" s="449"/>
      <c r="B102" s="89" t="s">
        <v>77</v>
      </c>
      <c r="C102" s="658" t="s">
        <v>78</v>
      </c>
      <c r="D102" s="659"/>
      <c r="E102" s="660"/>
      <c r="F102" s="36"/>
      <c r="I102" s="450"/>
    </row>
    <row r="103" spans="1:9" ht="30" x14ac:dyDescent="0.2">
      <c r="A103" s="449"/>
      <c r="B103" s="89" t="s">
        <v>79</v>
      </c>
      <c r="C103" s="658" t="s">
        <v>80</v>
      </c>
      <c r="D103" s="659"/>
      <c r="E103" s="660"/>
      <c r="F103" s="36"/>
      <c r="I103" s="450"/>
    </row>
    <row r="104" spans="1:9" ht="30" x14ac:dyDescent="0.2">
      <c r="A104" s="449"/>
      <c r="B104" s="89" t="s">
        <v>1044</v>
      </c>
      <c r="C104" s="658" t="s">
        <v>1045</v>
      </c>
      <c r="D104" s="659"/>
      <c r="E104" s="660"/>
      <c r="F104" s="36"/>
      <c r="I104" s="450"/>
    </row>
    <row r="105" spans="1:9" ht="30" x14ac:dyDescent="0.2">
      <c r="A105" s="449"/>
      <c r="B105" s="89" t="s">
        <v>81</v>
      </c>
      <c r="C105" s="658" t="s">
        <v>1046</v>
      </c>
      <c r="D105" s="659"/>
      <c r="E105" s="660"/>
      <c r="F105" s="36"/>
      <c r="I105" s="450"/>
    </row>
    <row r="106" spans="1:9" x14ac:dyDescent="0.2">
      <c r="A106" s="449"/>
      <c r="B106" s="88"/>
      <c r="C106" s="88"/>
      <c r="D106" s="36"/>
      <c r="E106" s="36"/>
      <c r="F106" s="36"/>
      <c r="I106" s="450"/>
    </row>
    <row r="107" spans="1:9" ht="15" thickBot="1" x14ac:dyDescent="0.25">
      <c r="A107" s="449"/>
      <c r="B107" s="665" t="s">
        <v>82</v>
      </c>
      <c r="C107" s="665"/>
      <c r="D107" s="665"/>
      <c r="E107" s="36"/>
      <c r="F107" s="36"/>
      <c r="I107" s="450"/>
    </row>
    <row r="108" spans="1:9" ht="15.75" thickTop="1" thickBot="1" x14ac:dyDescent="0.25">
      <c r="A108" s="449"/>
      <c r="B108" s="663" t="s">
        <v>83</v>
      </c>
      <c r="C108" s="664"/>
      <c r="D108" s="102" t="str">
        <f>ENERGIA!O147</f>
        <v xml:space="preserve">Bovino </v>
      </c>
      <c r="E108" s="36"/>
      <c r="F108" s="36"/>
      <c r="I108" s="450"/>
    </row>
    <row r="109" spans="1:9" ht="15.75" thickTop="1" thickBot="1" x14ac:dyDescent="0.25">
      <c r="A109" s="449"/>
      <c r="B109" s="663" t="s">
        <v>68</v>
      </c>
      <c r="C109" s="664"/>
      <c r="D109" s="102">
        <f>ENERGIA!O148</f>
        <v>5</v>
      </c>
      <c r="E109" s="36"/>
      <c r="F109" s="90"/>
      <c r="I109" s="450"/>
    </row>
    <row r="110" spans="1:9" ht="15.75" thickTop="1" thickBot="1" x14ac:dyDescent="0.25">
      <c r="A110" s="449"/>
      <c r="B110" s="663" t="s">
        <v>69</v>
      </c>
      <c r="C110" s="664"/>
      <c r="D110" s="102" t="str">
        <f>ENERGIA!O149</f>
        <v>No</v>
      </c>
      <c r="E110" s="36"/>
      <c r="F110" s="90"/>
      <c r="I110" s="450"/>
    </row>
    <row r="111" spans="1:9" ht="15" thickTop="1" x14ac:dyDescent="0.2">
      <c r="A111" s="449"/>
      <c r="B111" s="88"/>
      <c r="C111" s="88"/>
      <c r="D111" s="36"/>
      <c r="E111" s="36"/>
      <c r="F111" s="90"/>
      <c r="I111" s="450"/>
    </row>
    <row r="112" spans="1:9" ht="15" x14ac:dyDescent="0.2">
      <c r="A112" s="449"/>
      <c r="B112" s="87" t="s">
        <v>84</v>
      </c>
      <c r="C112" s="88"/>
      <c r="D112" s="36"/>
      <c r="E112" s="36"/>
      <c r="F112" s="318"/>
      <c r="G112" s="320" t="s">
        <v>568</v>
      </c>
      <c r="H112" s="320" t="s">
        <v>1120</v>
      </c>
      <c r="I112" s="450"/>
    </row>
    <row r="113" spans="1:9" x14ac:dyDescent="0.2">
      <c r="A113" s="449"/>
      <c r="B113" s="71" t="s">
        <v>85</v>
      </c>
      <c r="C113" s="71"/>
      <c r="D113" s="72" t="s">
        <v>3</v>
      </c>
      <c r="E113" s="36"/>
      <c r="F113" s="320" t="s">
        <v>1029</v>
      </c>
      <c r="G113" s="482">
        <f>D116</f>
        <v>0.80854799999999993</v>
      </c>
      <c r="H113" s="482">
        <v>0</v>
      </c>
      <c r="I113" s="450"/>
    </row>
    <row r="114" spans="1:9" x14ac:dyDescent="0.2">
      <c r="A114" s="449"/>
      <c r="B114" s="654" t="s">
        <v>86</v>
      </c>
      <c r="C114" s="654"/>
      <c r="D114" s="73">
        <f>365*(IF(D110="No",(D109*VLOOKUP(D108,Tabla22[#All],2,FALSE)*VLOOKUP(D108,Tabla22[#All],3,FALSE)*0.65),D109*VLOOKUP(D108,Tabla22[#All],2,FALSE)*VLOOKUP(D108,Tabla22[#All],3,FALSE)))</f>
        <v>474.5</v>
      </c>
      <c r="E114" s="36"/>
      <c r="F114" s="320" t="s">
        <v>30</v>
      </c>
      <c r="G114" s="482">
        <v>0</v>
      </c>
      <c r="H114" s="482">
        <f>+D116</f>
        <v>0.80854799999999993</v>
      </c>
      <c r="I114" s="450"/>
    </row>
    <row r="115" spans="1:9" x14ac:dyDescent="0.2">
      <c r="A115" s="449"/>
      <c r="B115" s="654" t="s">
        <v>1043</v>
      </c>
      <c r="C115" s="654"/>
      <c r="D115" s="73">
        <f>+D114*C127</f>
        <v>2847</v>
      </c>
      <c r="E115" s="36"/>
      <c r="F115" s="90"/>
      <c r="I115" s="450"/>
    </row>
    <row r="116" spans="1:9" x14ac:dyDescent="0.2">
      <c r="A116" s="449"/>
      <c r="B116" s="654" t="s">
        <v>281</v>
      </c>
      <c r="C116" s="654"/>
      <c r="D116" s="91">
        <f>+D115*C128/1000</f>
        <v>0.80854799999999993</v>
      </c>
      <c r="E116" s="36"/>
      <c r="F116" s="36"/>
      <c r="I116" s="450"/>
    </row>
    <row r="117" spans="1:9" x14ac:dyDescent="0.2">
      <c r="A117" s="449"/>
      <c r="B117" s="88"/>
      <c r="C117" s="88"/>
      <c r="D117" s="36"/>
      <c r="E117" s="36"/>
      <c r="F117" s="36"/>
      <c r="I117" s="450"/>
    </row>
    <row r="118" spans="1:9" x14ac:dyDescent="0.2">
      <c r="A118" s="449"/>
      <c r="B118" s="88"/>
      <c r="C118" s="88"/>
      <c r="D118" s="36"/>
      <c r="E118" s="36"/>
      <c r="F118" s="36"/>
      <c r="I118" s="450"/>
    </row>
    <row r="119" spans="1:9" x14ac:dyDescent="0.2">
      <c r="A119" s="449"/>
      <c r="B119" s="655" t="s">
        <v>87</v>
      </c>
      <c r="C119" s="656"/>
      <c r="D119" s="656"/>
      <c r="E119" s="656"/>
      <c r="F119" s="36"/>
      <c r="I119" s="450"/>
    </row>
    <row r="120" spans="1:9" ht="75" x14ac:dyDescent="0.25">
      <c r="A120" s="449"/>
      <c r="B120" s="92" t="s">
        <v>88</v>
      </c>
      <c r="C120" s="93" t="s">
        <v>89</v>
      </c>
      <c r="D120" s="93" t="s">
        <v>90</v>
      </c>
      <c r="E120" s="94" t="s">
        <v>91</v>
      </c>
      <c r="F120" s="36"/>
      <c r="I120" s="450"/>
    </row>
    <row r="121" spans="1:9" ht="42.75" x14ac:dyDescent="0.2">
      <c r="A121" s="449"/>
      <c r="B121" s="95" t="s">
        <v>92</v>
      </c>
      <c r="C121" s="96" t="s">
        <v>93</v>
      </c>
      <c r="D121" s="96" t="s">
        <v>94</v>
      </c>
      <c r="E121" s="97" t="s">
        <v>95</v>
      </c>
      <c r="F121" s="36"/>
      <c r="I121" s="450"/>
    </row>
    <row r="122" spans="1:9" x14ac:dyDescent="0.2">
      <c r="A122" s="449"/>
      <c r="B122" s="85" t="s">
        <v>96</v>
      </c>
      <c r="C122" s="96">
        <v>10</v>
      </c>
      <c r="D122" s="96">
        <v>0.04</v>
      </c>
      <c r="E122" s="80">
        <v>56.2</v>
      </c>
      <c r="F122" s="36"/>
      <c r="I122" s="450"/>
    </row>
    <row r="123" spans="1:9" x14ac:dyDescent="0.2">
      <c r="A123" s="449"/>
      <c r="B123" s="85" t="s">
        <v>97</v>
      </c>
      <c r="C123" s="96">
        <v>2.25</v>
      </c>
      <c r="D123" s="96">
        <v>0.06</v>
      </c>
      <c r="E123" s="80">
        <v>49</v>
      </c>
      <c r="F123" s="36"/>
      <c r="I123" s="450"/>
    </row>
    <row r="124" spans="1:9" x14ac:dyDescent="0.2">
      <c r="A124" s="449"/>
      <c r="B124" s="85" t="s">
        <v>98</v>
      </c>
      <c r="C124" s="96">
        <v>0.18</v>
      </c>
      <c r="D124" s="96">
        <v>0.08</v>
      </c>
      <c r="E124" s="80">
        <v>59</v>
      </c>
      <c r="F124" s="36"/>
      <c r="I124" s="450"/>
    </row>
    <row r="125" spans="1:9" x14ac:dyDescent="0.2">
      <c r="A125" s="449"/>
      <c r="B125" s="81" t="s">
        <v>99</v>
      </c>
      <c r="C125" s="96">
        <v>1</v>
      </c>
      <c r="D125" s="96"/>
      <c r="E125" s="80"/>
      <c r="F125" s="36"/>
      <c r="I125" s="450"/>
    </row>
    <row r="126" spans="1:9" x14ac:dyDescent="0.2">
      <c r="A126" s="449"/>
      <c r="B126" s="81" t="s">
        <v>100</v>
      </c>
      <c r="C126" s="96">
        <v>0.65</v>
      </c>
      <c r="D126" s="96"/>
      <c r="E126" s="80"/>
      <c r="F126" s="36"/>
      <c r="I126" s="450"/>
    </row>
    <row r="127" spans="1:9" ht="28.5" x14ac:dyDescent="0.2">
      <c r="A127" s="449"/>
      <c r="B127" s="81" t="s">
        <v>1047</v>
      </c>
      <c r="C127" s="96">
        <v>6</v>
      </c>
      <c r="D127" s="96"/>
      <c r="E127" s="80"/>
      <c r="F127" s="36"/>
      <c r="I127" s="450"/>
    </row>
    <row r="128" spans="1:9" ht="28.5" x14ac:dyDescent="0.2">
      <c r="A128" s="449"/>
      <c r="B128" s="98" t="s">
        <v>1048</v>
      </c>
      <c r="C128" s="99">
        <v>0.28399999999999997</v>
      </c>
      <c r="D128" s="99"/>
      <c r="E128" s="100"/>
      <c r="F128" s="36"/>
      <c r="I128" s="450"/>
    </row>
    <row r="129" spans="1:9" x14ac:dyDescent="0.2">
      <c r="A129" s="449"/>
      <c r="B129" s="82"/>
      <c r="C129" s="451"/>
      <c r="D129" s="451"/>
      <c r="E129" s="451"/>
      <c r="F129" s="36"/>
      <c r="I129" s="450"/>
    </row>
    <row r="130" spans="1:9" x14ac:dyDescent="0.2">
      <c r="A130" s="449"/>
      <c r="B130" s="657" t="s">
        <v>101</v>
      </c>
      <c r="C130" s="657"/>
      <c r="D130" s="657"/>
      <c r="E130" s="657"/>
      <c r="F130" s="35"/>
      <c r="I130" s="450"/>
    </row>
    <row r="131" spans="1:9" x14ac:dyDescent="0.2">
      <c r="A131" s="449"/>
      <c r="B131" s="82"/>
      <c r="C131" s="451"/>
      <c r="D131" s="451"/>
      <c r="E131" s="451"/>
      <c r="F131" s="452"/>
      <c r="I131" s="450"/>
    </row>
    <row r="132" spans="1:9" x14ac:dyDescent="0.2">
      <c r="A132" s="449"/>
      <c r="B132" s="101" t="s">
        <v>102</v>
      </c>
      <c r="C132" s="36"/>
      <c r="D132" s="36"/>
      <c r="E132" s="36"/>
      <c r="F132" s="36"/>
      <c r="I132" s="450"/>
    </row>
    <row r="133" spans="1:9" x14ac:dyDescent="0.2">
      <c r="A133" s="449"/>
      <c r="B133" s="652" t="s">
        <v>103</v>
      </c>
      <c r="C133" s="652"/>
      <c r="D133" s="652"/>
      <c r="E133" s="652"/>
      <c r="F133" s="36"/>
      <c r="I133" s="450"/>
    </row>
    <row r="134" spans="1:9" x14ac:dyDescent="0.2">
      <c r="A134" s="449"/>
      <c r="B134" s="661" t="s">
        <v>104</v>
      </c>
      <c r="C134" s="662"/>
      <c r="D134" s="662"/>
      <c r="E134" s="662"/>
      <c r="F134" s="34"/>
      <c r="I134" s="450"/>
    </row>
    <row r="135" spans="1:9" x14ac:dyDescent="0.2">
      <c r="A135" s="449"/>
      <c r="B135" s="652" t="s">
        <v>105</v>
      </c>
      <c r="C135" s="652"/>
      <c r="D135" s="652"/>
      <c r="E135" s="652"/>
      <c r="F135" s="36"/>
      <c r="I135" s="450"/>
    </row>
    <row r="136" spans="1:9" x14ac:dyDescent="0.2">
      <c r="A136" s="449"/>
      <c r="B136" s="652" t="s">
        <v>106</v>
      </c>
      <c r="C136" s="652"/>
      <c r="D136" s="652"/>
      <c r="E136" s="652"/>
      <c r="F136" s="36"/>
      <c r="I136" s="450"/>
    </row>
    <row r="137" spans="1:9" x14ac:dyDescent="0.2">
      <c r="A137" s="442"/>
      <c r="B137" s="443"/>
      <c r="C137" s="443"/>
      <c r="D137" s="443"/>
      <c r="E137" s="443"/>
      <c r="F137" s="443"/>
      <c r="G137" s="443"/>
      <c r="H137" s="443"/>
      <c r="I137" s="444"/>
    </row>
    <row r="138" spans="1:9" x14ac:dyDescent="0.2"/>
    <row r="139" spans="1:9" ht="15" x14ac:dyDescent="0.2">
      <c r="A139" s="445"/>
      <c r="B139" s="446"/>
      <c r="C139" s="446"/>
      <c r="D139" s="446"/>
      <c r="E139" s="446"/>
      <c r="F139" s="459"/>
      <c r="G139" s="460"/>
      <c r="H139" s="460"/>
      <c r="I139" s="447"/>
    </row>
    <row r="140" spans="1:9" ht="15" x14ac:dyDescent="0.2">
      <c r="A140" s="449"/>
      <c r="B140" s="20" t="s">
        <v>713</v>
      </c>
      <c r="C140" s="453"/>
      <c r="D140" s="453"/>
      <c r="F140" s="320" t="s">
        <v>1096</v>
      </c>
      <c r="G140" s="482">
        <f>+$H$155</f>
        <v>1.1124424938271606</v>
      </c>
      <c r="H140" s="322"/>
      <c r="I140" s="450"/>
    </row>
    <row r="141" spans="1:9" ht="28.5" x14ac:dyDescent="0.2">
      <c r="A141" s="449"/>
      <c r="F141" s="489" t="s">
        <v>1112</v>
      </c>
      <c r="G141" s="482">
        <v>0</v>
      </c>
      <c r="H141" s="322"/>
      <c r="I141" s="450"/>
    </row>
    <row r="142" spans="1:9" x14ac:dyDescent="0.2">
      <c r="A142" s="440"/>
      <c r="B142" s="1"/>
      <c r="C142" s="1"/>
      <c r="D142" s="1"/>
      <c r="E142" s="1"/>
      <c r="F142" s="268" t="s">
        <v>714</v>
      </c>
      <c r="G142" s="139"/>
      <c r="H142" s="12"/>
      <c r="I142" s="441"/>
    </row>
    <row r="143" spans="1:9" ht="15" x14ac:dyDescent="0.2">
      <c r="A143" s="440"/>
      <c r="B143" s="462" t="s">
        <v>20</v>
      </c>
      <c r="C143" s="436"/>
      <c r="D143" s="463"/>
      <c r="E143" s="1"/>
      <c r="F143" t="s">
        <v>715</v>
      </c>
      <c r="I143" s="441"/>
    </row>
    <row r="144" spans="1:9" x14ac:dyDescent="0.2">
      <c r="A144" s="440"/>
      <c r="B144" s="464" t="s">
        <v>716</v>
      </c>
      <c r="C144" s="118" t="s">
        <v>443</v>
      </c>
      <c r="D144" s="465">
        <f>ENERGIA!O172</f>
        <v>200</v>
      </c>
      <c r="E144" s="1"/>
      <c r="F144" t="s">
        <v>717</v>
      </c>
      <c r="I144" s="441"/>
    </row>
    <row r="145" spans="1:9" x14ac:dyDescent="0.2">
      <c r="A145" s="440"/>
      <c r="B145" s="464" t="s">
        <v>718</v>
      </c>
      <c r="C145" s="118" t="s">
        <v>719</v>
      </c>
      <c r="D145" s="465" t="str">
        <f>ENERGIA!O173</f>
        <v>Eléctrico</v>
      </c>
      <c r="E145" s="1"/>
      <c r="F145" s="653" t="s">
        <v>720</v>
      </c>
      <c r="G145">
        <f>+G147*G148*G149</f>
        <v>16720</v>
      </c>
      <c r="H145" t="s">
        <v>721</v>
      </c>
      <c r="I145" s="441"/>
    </row>
    <row r="146" spans="1:9" ht="15" x14ac:dyDescent="0.2">
      <c r="A146" s="440"/>
      <c r="B146" s="466" t="s">
        <v>348</v>
      </c>
      <c r="C146" s="107" t="s">
        <v>722</v>
      </c>
      <c r="D146" s="467" t="s">
        <v>365</v>
      </c>
      <c r="E146" s="1"/>
      <c r="F146" s="653"/>
      <c r="G146" s="269">
        <f>+G145/3600</f>
        <v>4.6444444444444448</v>
      </c>
      <c r="H146" s="182" t="s">
        <v>723</v>
      </c>
      <c r="I146" s="441"/>
    </row>
    <row r="147" spans="1:9" ht="15" x14ac:dyDescent="0.2">
      <c r="A147" s="440"/>
      <c r="B147" s="468"/>
      <c r="C147" s="221" t="s">
        <v>724</v>
      </c>
      <c r="D147" s="469">
        <v>90</v>
      </c>
      <c r="E147" s="1"/>
      <c r="F147" s="454" t="s">
        <v>725</v>
      </c>
      <c r="G147">
        <v>100</v>
      </c>
      <c r="I147" s="441"/>
    </row>
    <row r="148" spans="1:9" ht="15" x14ac:dyDescent="0.2">
      <c r="A148" s="440"/>
      <c r="B148" s="468"/>
      <c r="C148" s="221" t="s">
        <v>568</v>
      </c>
      <c r="D148" s="469">
        <v>60</v>
      </c>
      <c r="E148" s="1"/>
      <c r="F148" s="454" t="s">
        <v>726</v>
      </c>
      <c r="G148">
        <v>4.18</v>
      </c>
      <c r="I148" s="441"/>
    </row>
    <row r="149" spans="1:9" ht="15" x14ac:dyDescent="0.2">
      <c r="A149" s="440"/>
      <c r="B149" s="468" t="s">
        <v>564</v>
      </c>
      <c r="C149" s="8" t="s">
        <v>565</v>
      </c>
      <c r="D149" s="470"/>
      <c r="E149" s="1"/>
      <c r="F149" s="454" t="s">
        <v>727</v>
      </c>
      <c r="G149">
        <f>55-15</f>
        <v>40</v>
      </c>
      <c r="I149" s="441"/>
    </row>
    <row r="150" spans="1:9" ht="15" x14ac:dyDescent="0.2">
      <c r="A150" s="440"/>
      <c r="B150" s="468"/>
      <c r="C150" s="270" t="s">
        <v>568</v>
      </c>
      <c r="D150" s="469">
        <v>46.5</v>
      </c>
      <c r="E150" s="1"/>
      <c r="I150" s="441"/>
    </row>
    <row r="151" spans="1:9" ht="15" x14ac:dyDescent="0.2">
      <c r="A151" s="440"/>
      <c r="B151" s="468" t="s">
        <v>34</v>
      </c>
      <c r="C151" s="1" t="s">
        <v>575</v>
      </c>
      <c r="D151" s="471"/>
      <c r="E151" s="121"/>
      <c r="F151" s="163" t="s">
        <v>33</v>
      </c>
      <c r="G151" s="160"/>
      <c r="H151" s="155"/>
      <c r="I151" s="441"/>
    </row>
    <row r="152" spans="1:9" ht="15" x14ac:dyDescent="0.2">
      <c r="A152" s="440"/>
      <c r="B152" s="468"/>
      <c r="C152" s="1" t="s">
        <v>568</v>
      </c>
      <c r="D152" s="471">
        <v>82.573657474600907</v>
      </c>
      <c r="E152" s="121"/>
      <c r="F152" s="146" t="s">
        <v>728</v>
      </c>
      <c r="G152" s="8" t="s">
        <v>112</v>
      </c>
      <c r="H152" s="217">
        <f>+$D$144/100*$G$146*$D$154</f>
        <v>3390.4444444444448</v>
      </c>
      <c r="I152" s="441"/>
    </row>
    <row r="153" spans="1:9" x14ac:dyDescent="0.2">
      <c r="A153" s="440"/>
      <c r="B153" s="449"/>
      <c r="C153" s="1" t="s">
        <v>38</v>
      </c>
      <c r="D153" s="471">
        <v>0.29530000000000001</v>
      </c>
      <c r="E153" s="121"/>
      <c r="F153" s="146" t="s">
        <v>558</v>
      </c>
      <c r="G153" s="8" t="s">
        <v>112</v>
      </c>
      <c r="H153" s="217">
        <f>+$H$152/($D$147/100)</f>
        <v>3767.1604938271607</v>
      </c>
      <c r="I153" s="441"/>
    </row>
    <row r="154" spans="1:9" ht="15" x14ac:dyDescent="0.2">
      <c r="A154" s="440"/>
      <c r="B154" s="468" t="s">
        <v>576</v>
      </c>
      <c r="C154" s="1" t="s">
        <v>577</v>
      </c>
      <c r="D154" s="471">
        <v>365</v>
      </c>
      <c r="E154" s="1"/>
      <c r="F154" s="146" t="s">
        <v>559</v>
      </c>
      <c r="G154" s="8" t="s">
        <v>729</v>
      </c>
      <c r="H154" s="217">
        <f>+$H$152/($D$148/100)*3600/1000</f>
        <v>20342.666666666672</v>
      </c>
      <c r="I154" s="441"/>
    </row>
    <row r="155" spans="1:9" ht="15" x14ac:dyDescent="0.2">
      <c r="A155" s="440"/>
      <c r="B155" s="472" t="s">
        <v>41</v>
      </c>
      <c r="C155" s="473" t="s">
        <v>43</v>
      </c>
      <c r="D155" s="474">
        <v>16.399999999999999</v>
      </c>
      <c r="E155" s="1"/>
      <c r="F155" s="150" t="s">
        <v>561</v>
      </c>
      <c r="G155" s="432" t="s">
        <v>39</v>
      </c>
      <c r="H155" s="219">
        <f>+IF($D$145="GLP",$H$154/1000000*$D$152,IF($D$145="Eléctrico",$H$153*$D$153/1000))</f>
        <v>1.1124424938271606</v>
      </c>
      <c r="I155" s="441"/>
    </row>
    <row r="156" spans="1:9" ht="15" x14ac:dyDescent="0.2">
      <c r="A156" s="440"/>
      <c r="B156" s="461" t="s">
        <v>62</v>
      </c>
      <c r="C156" s="153" t="s">
        <v>45</v>
      </c>
      <c r="D156" s="164">
        <v>0</v>
      </c>
      <c r="E156" s="1"/>
      <c r="F156" s="151" t="s">
        <v>378</v>
      </c>
      <c r="G156" s="153" t="s">
        <v>563</v>
      </c>
      <c r="H156" s="271">
        <f>+$D$155*H155</f>
        <v>18.244056898765432</v>
      </c>
      <c r="I156" s="441"/>
    </row>
    <row r="157" spans="1:9" x14ac:dyDescent="0.2">
      <c r="A157" s="440"/>
      <c r="E157" s="1"/>
      <c r="F157" t="s">
        <v>730</v>
      </c>
      <c r="I157" s="441"/>
    </row>
    <row r="158" spans="1:9" x14ac:dyDescent="0.2">
      <c r="A158" s="442"/>
      <c r="B158" s="443"/>
      <c r="C158" s="443"/>
      <c r="D158" s="443"/>
      <c r="E158" s="443"/>
      <c r="F158" s="443"/>
      <c r="G158" s="443"/>
      <c r="H158" s="443"/>
      <c r="I158" s="444"/>
    </row>
    <row r="159" spans="1:9" x14ac:dyDescent="0.2"/>
    <row r="160" spans="1:9" x14ac:dyDescent="0.2">
      <c r="A160" s="445"/>
      <c r="B160" s="446"/>
      <c r="C160" s="446"/>
      <c r="D160" s="446"/>
      <c r="E160" s="446"/>
      <c r="F160" s="446"/>
      <c r="G160" s="446"/>
      <c r="H160" s="446"/>
      <c r="I160" s="447"/>
    </row>
    <row r="161" spans="1:9" ht="15" x14ac:dyDescent="0.2">
      <c r="A161" s="440"/>
      <c r="B161" s="20" t="s">
        <v>1052</v>
      </c>
      <c r="C161" s="20"/>
      <c r="D161" s="20"/>
      <c r="E161" s="1"/>
      <c r="F161" s="268" t="s">
        <v>734</v>
      </c>
      <c r="G161" s="139"/>
      <c r="H161" s="12"/>
      <c r="I161" s="441"/>
    </row>
    <row r="162" spans="1:9" x14ac:dyDescent="0.2">
      <c r="A162" s="440"/>
      <c r="B162" s="1"/>
      <c r="C162" s="1"/>
      <c r="D162" s="1"/>
      <c r="E162" s="1"/>
      <c r="F162" s="272" t="s">
        <v>735</v>
      </c>
      <c r="G162" s="139"/>
      <c r="H162" s="12"/>
      <c r="I162" s="441"/>
    </row>
    <row r="163" spans="1:9" ht="15" x14ac:dyDescent="0.2">
      <c r="A163" s="440"/>
      <c r="B163" s="133" t="s">
        <v>20</v>
      </c>
      <c r="C163" s="107"/>
      <c r="D163" s="108"/>
      <c r="E163" s="1"/>
      <c r="F163" s="268" t="s">
        <v>736</v>
      </c>
      <c r="G163" s="139"/>
      <c r="H163" s="12"/>
      <c r="I163" s="441"/>
    </row>
    <row r="164" spans="1:9" ht="15" x14ac:dyDescent="0.2">
      <c r="A164" s="440"/>
      <c r="B164" s="273" t="s">
        <v>737</v>
      </c>
      <c r="C164" s="118" t="s">
        <v>738</v>
      </c>
      <c r="D164" s="213">
        <f>ENERGIA!O196</f>
        <v>36</v>
      </c>
      <c r="E164" s="1"/>
      <c r="F164" s="268" t="s">
        <v>1053</v>
      </c>
      <c r="G164" s="139"/>
      <c r="H164" s="12"/>
      <c r="I164" s="441"/>
    </row>
    <row r="165" spans="1:9" ht="15" x14ac:dyDescent="0.2">
      <c r="A165" s="440"/>
      <c r="B165" s="273" t="s">
        <v>739</v>
      </c>
      <c r="C165" s="118" t="s">
        <v>149</v>
      </c>
      <c r="D165" s="213">
        <f>ENERGIA!O197</f>
        <v>10</v>
      </c>
      <c r="E165" s="1"/>
      <c r="F165" s="163" t="s">
        <v>33</v>
      </c>
      <c r="G165" s="160"/>
      <c r="H165" s="155"/>
      <c r="I165" s="441"/>
    </row>
    <row r="166" spans="1:9" ht="15" x14ac:dyDescent="0.2">
      <c r="A166" s="440"/>
      <c r="B166" s="273" t="s">
        <v>740</v>
      </c>
      <c r="C166" s="118" t="s">
        <v>298</v>
      </c>
      <c r="D166" s="213">
        <f>ENERGIA!O198</f>
        <v>95</v>
      </c>
      <c r="E166" s="1"/>
      <c r="F166" s="146" t="s">
        <v>741</v>
      </c>
      <c r="G166" s="8" t="s">
        <v>742</v>
      </c>
      <c r="H166" s="147">
        <f>+($D$165*$D$177)*$D$176*($D$164-15)+$D$167*$D$168*($D$164-15)+($D$166-$D$167)*$D$175*$D$170/3600/1000</f>
        <v>2888.0526111111108</v>
      </c>
      <c r="I166" s="441"/>
    </row>
    <row r="167" spans="1:9" ht="15" x14ac:dyDescent="0.2">
      <c r="A167" s="440"/>
      <c r="B167" s="273" t="s">
        <v>743</v>
      </c>
      <c r="C167" s="118" t="s">
        <v>298</v>
      </c>
      <c r="D167" s="213">
        <f>ENERGIA!O199</f>
        <v>30</v>
      </c>
      <c r="E167" s="1"/>
      <c r="F167" s="146" t="s">
        <v>40</v>
      </c>
      <c r="G167" s="8" t="s">
        <v>39</v>
      </c>
      <c r="H167" s="147">
        <f>+($H$166/((VLOOKUP($D$169,$B$172:$D$174,3,FALSE))/100))*VLOOKUP($D$169,$B$179:$D$181,3,FALSE)</f>
        <v>1078.3154665476266</v>
      </c>
      <c r="I167" s="441"/>
    </row>
    <row r="168" spans="1:9" ht="15" x14ac:dyDescent="0.2">
      <c r="A168" s="440"/>
      <c r="B168" s="273" t="s">
        <v>744</v>
      </c>
      <c r="C168" s="118" t="s">
        <v>745</v>
      </c>
      <c r="D168" s="213">
        <f>ENERGIA!O200</f>
        <v>4.18</v>
      </c>
      <c r="E168" s="1"/>
      <c r="F168" s="151" t="s">
        <v>378</v>
      </c>
      <c r="G168" s="131" t="s">
        <v>44</v>
      </c>
      <c r="H168" s="152">
        <f>+$H$167*$D$182</f>
        <v>17684.373651381073</v>
      </c>
      <c r="I168" s="441"/>
    </row>
    <row r="169" spans="1:9" ht="15" x14ac:dyDescent="0.2">
      <c r="A169" s="440"/>
      <c r="B169" s="273" t="s">
        <v>746</v>
      </c>
      <c r="C169" s="118"/>
      <c r="D169" s="213" t="str">
        <f>ENERGIA!O201</f>
        <v>Diésel</v>
      </c>
      <c r="E169" s="1"/>
      <c r="F169" s="139"/>
      <c r="G169" s="139"/>
      <c r="H169" s="12"/>
      <c r="I169" s="441"/>
    </row>
    <row r="170" spans="1:9" ht="15" x14ac:dyDescent="0.2">
      <c r="A170" s="440"/>
      <c r="B170" s="273" t="s">
        <v>747</v>
      </c>
      <c r="C170" s="118" t="s">
        <v>748</v>
      </c>
      <c r="D170" s="136">
        <f>ENERGIA!O202</f>
        <v>50</v>
      </c>
      <c r="E170" s="1"/>
      <c r="I170" s="441"/>
    </row>
    <row r="171" spans="1:9" ht="15" x14ac:dyDescent="0.2">
      <c r="A171" s="440"/>
      <c r="B171" s="163" t="s">
        <v>348</v>
      </c>
      <c r="C171" s="107"/>
      <c r="D171" s="108"/>
      <c r="E171" s="1"/>
      <c r="I171" s="441"/>
    </row>
    <row r="172" spans="1:9" x14ac:dyDescent="0.2">
      <c r="A172" s="440"/>
      <c r="B172" s="274" t="s">
        <v>568</v>
      </c>
      <c r="C172" s="8" t="s">
        <v>365</v>
      </c>
      <c r="D172" s="140">
        <v>90</v>
      </c>
      <c r="E172" s="1"/>
      <c r="I172" s="441"/>
    </row>
    <row r="173" spans="1:9" x14ac:dyDescent="0.2">
      <c r="A173" s="440"/>
      <c r="B173" s="274" t="s">
        <v>749</v>
      </c>
      <c r="C173" s="8" t="s">
        <v>365</v>
      </c>
      <c r="D173" s="275">
        <v>95</v>
      </c>
      <c r="E173" s="1"/>
      <c r="I173" s="441"/>
    </row>
    <row r="174" spans="1:9" x14ac:dyDescent="0.2">
      <c r="A174" s="440"/>
      <c r="B174" s="276" t="s">
        <v>669</v>
      </c>
      <c r="C174" s="8" t="s">
        <v>365</v>
      </c>
      <c r="D174" s="275">
        <v>70</v>
      </c>
      <c r="E174" s="1"/>
      <c r="F174" s="139"/>
      <c r="G174" s="139"/>
      <c r="H174" s="12"/>
      <c r="I174" s="441"/>
    </row>
    <row r="175" spans="1:9" x14ac:dyDescent="0.2">
      <c r="A175" s="440"/>
      <c r="B175" s="277" t="s">
        <v>750</v>
      </c>
      <c r="C175" s="8" t="s">
        <v>745</v>
      </c>
      <c r="D175" s="275">
        <v>2380</v>
      </c>
      <c r="E175" s="1"/>
      <c r="F175" s="139"/>
      <c r="G175" s="139"/>
      <c r="H175" s="12"/>
      <c r="I175" s="441"/>
    </row>
    <row r="176" spans="1:9" ht="15" x14ac:dyDescent="0.2">
      <c r="A176" s="440"/>
      <c r="B176" s="109" t="s">
        <v>751</v>
      </c>
      <c r="C176" s="8" t="s">
        <v>752</v>
      </c>
      <c r="D176" s="275">
        <v>1.002</v>
      </c>
      <c r="E176" s="1"/>
      <c r="F176" s="318"/>
      <c r="G176" s="460"/>
      <c r="H176" s="460"/>
      <c r="I176" s="441"/>
    </row>
    <row r="177" spans="1:9" x14ac:dyDescent="0.2">
      <c r="A177" s="440"/>
      <c r="B177" s="109" t="s">
        <v>753</v>
      </c>
      <c r="C177" s="8" t="s">
        <v>754</v>
      </c>
      <c r="D177" s="275">
        <v>1.2</v>
      </c>
      <c r="E177" s="1"/>
      <c r="F177" s="320" t="s">
        <v>1096</v>
      </c>
      <c r="G177" s="482">
        <f>$H$167</f>
        <v>1078.3154665476266</v>
      </c>
      <c r="H177" s="322"/>
      <c r="I177" s="441"/>
    </row>
    <row r="178" spans="1:9" ht="28.5" x14ac:dyDescent="0.2">
      <c r="A178" s="449"/>
      <c r="B178" s="150" t="s">
        <v>34</v>
      </c>
      <c r="D178" s="209"/>
      <c r="F178" s="489" t="s">
        <v>1112</v>
      </c>
      <c r="G178" s="482">
        <v>0</v>
      </c>
      <c r="H178" s="322"/>
      <c r="I178" s="450"/>
    </row>
    <row r="179" spans="1:9" x14ac:dyDescent="0.2">
      <c r="A179" s="449"/>
      <c r="B179" s="278" t="s">
        <v>568</v>
      </c>
      <c r="C179" s="1" t="s">
        <v>38</v>
      </c>
      <c r="D179" s="279">
        <v>0.19650000000000001</v>
      </c>
      <c r="E179" s="455"/>
      <c r="I179" s="450"/>
    </row>
    <row r="180" spans="1:9" x14ac:dyDescent="0.2">
      <c r="A180" s="449"/>
      <c r="B180" s="278" t="s">
        <v>749</v>
      </c>
      <c r="C180" s="1" t="s">
        <v>38</v>
      </c>
      <c r="D180" s="279">
        <v>0.29530000000000001</v>
      </c>
      <c r="E180" s="455"/>
      <c r="I180" s="450"/>
    </row>
    <row r="181" spans="1:9" x14ac:dyDescent="0.2">
      <c r="A181" s="449"/>
      <c r="B181" s="277" t="s">
        <v>669</v>
      </c>
      <c r="C181" s="1" t="s">
        <v>38</v>
      </c>
      <c r="D181" s="279">
        <f>72.6/277.778</f>
        <v>0.26135979091216721</v>
      </c>
      <c r="E181" s="455"/>
      <c r="I181" s="450"/>
    </row>
    <row r="182" spans="1:9" x14ac:dyDescent="0.2">
      <c r="A182" s="449"/>
      <c r="B182" s="151" t="s">
        <v>41</v>
      </c>
      <c r="C182" s="153" t="s">
        <v>43</v>
      </c>
      <c r="D182" s="132">
        <v>16.399999999999999</v>
      </c>
      <c r="I182" s="450"/>
    </row>
    <row r="183" spans="1:9" x14ac:dyDescent="0.2">
      <c r="A183" s="442"/>
      <c r="B183" s="443"/>
      <c r="C183" s="443"/>
      <c r="D183" s="443"/>
      <c r="E183" s="443"/>
      <c r="F183" s="443"/>
      <c r="G183" s="443"/>
      <c r="H183" s="443"/>
      <c r="I183" s="444"/>
    </row>
    <row r="184" spans="1:9" x14ac:dyDescent="0.2"/>
    <row r="185" spans="1:9" x14ac:dyDescent="0.2">
      <c r="A185" s="445"/>
      <c r="B185" s="446"/>
      <c r="C185" s="446"/>
      <c r="D185" s="446"/>
      <c r="E185" s="446"/>
      <c r="F185" s="446"/>
      <c r="G185" s="446"/>
      <c r="H185" s="446"/>
      <c r="I185" s="447"/>
    </row>
    <row r="186" spans="1:9" ht="15" x14ac:dyDescent="0.2">
      <c r="A186" s="440"/>
      <c r="B186" s="20" t="s">
        <v>774</v>
      </c>
      <c r="C186" s="20"/>
      <c r="D186" s="20"/>
      <c r="E186" s="1"/>
      <c r="F186" s="284" t="s">
        <v>773</v>
      </c>
      <c r="G186" s="139" t="s">
        <v>772</v>
      </c>
      <c r="H186" s="12"/>
      <c r="I186" s="441"/>
    </row>
    <row r="187" spans="1:9" x14ac:dyDescent="0.2">
      <c r="A187" s="440"/>
      <c r="B187" s="1"/>
      <c r="C187" s="1"/>
      <c r="D187" s="1"/>
      <c r="E187" s="1"/>
      <c r="F187" s="284" t="s">
        <v>771</v>
      </c>
      <c r="G187" s="139" t="s">
        <v>770</v>
      </c>
      <c r="H187" s="12"/>
      <c r="I187" s="441"/>
    </row>
    <row r="188" spans="1:9" ht="15" x14ac:dyDescent="0.2">
      <c r="A188" s="440"/>
      <c r="B188" s="133" t="s">
        <v>20</v>
      </c>
      <c r="C188" s="107"/>
      <c r="D188" s="108"/>
      <c r="E188" s="1"/>
      <c r="F188" t="s">
        <v>769</v>
      </c>
      <c r="G188" t="s">
        <v>768</v>
      </c>
      <c r="I188" s="441"/>
    </row>
    <row r="189" spans="1:9" x14ac:dyDescent="0.2">
      <c r="A189" s="440"/>
      <c r="B189" s="135" t="s">
        <v>767</v>
      </c>
      <c r="C189" s="118" t="s">
        <v>279</v>
      </c>
      <c r="D189" s="213">
        <f>ENERGIA!O223</f>
        <v>13</v>
      </c>
      <c r="E189" s="1"/>
      <c r="F189" t="s">
        <v>766</v>
      </c>
      <c r="G189" s="456">
        <v>0.32</v>
      </c>
      <c r="H189" t="s">
        <v>761</v>
      </c>
      <c r="I189" s="441"/>
    </row>
    <row r="190" spans="1:9" x14ac:dyDescent="0.2">
      <c r="A190" s="440"/>
      <c r="B190" s="135" t="s">
        <v>765</v>
      </c>
      <c r="C190" s="118" t="s">
        <v>764</v>
      </c>
      <c r="D190" s="213">
        <f>ENERGIA!O224</f>
        <v>2000</v>
      </c>
      <c r="E190" s="1"/>
      <c r="F190" t="s">
        <v>776</v>
      </c>
      <c r="G190" s="456">
        <v>0.27</v>
      </c>
      <c r="H190" t="s">
        <v>761</v>
      </c>
      <c r="I190" s="441"/>
    </row>
    <row r="191" spans="1:9" ht="15" x14ac:dyDescent="0.2">
      <c r="A191" s="440"/>
      <c r="B191" s="135" t="s">
        <v>763</v>
      </c>
      <c r="C191" s="118" t="s">
        <v>762</v>
      </c>
      <c r="D191" s="213">
        <f>ENERGIA!O225</f>
        <v>3</v>
      </c>
      <c r="E191" s="1"/>
      <c r="F191" t="s">
        <v>777</v>
      </c>
      <c r="G191" s="283">
        <v>0.09</v>
      </c>
      <c r="H191" t="s">
        <v>761</v>
      </c>
      <c r="I191" s="441"/>
    </row>
    <row r="192" spans="1:9" ht="15" x14ac:dyDescent="0.2">
      <c r="A192" s="440"/>
      <c r="B192" s="163" t="s">
        <v>348</v>
      </c>
      <c r="C192" s="107"/>
      <c r="D192" s="108"/>
      <c r="E192" s="1"/>
      <c r="F192" s="457" t="s">
        <v>760</v>
      </c>
      <c r="I192" s="441"/>
    </row>
    <row r="193" spans="1:9" ht="15" x14ac:dyDescent="0.2">
      <c r="A193" s="449"/>
      <c r="B193" s="150" t="s">
        <v>34</v>
      </c>
      <c r="C193" s="1"/>
      <c r="D193" s="110"/>
      <c r="E193" s="1"/>
      <c r="F193" s="458" t="s">
        <v>1054</v>
      </c>
      <c r="I193" s="441"/>
    </row>
    <row r="194" spans="1:9" ht="15" x14ac:dyDescent="0.2">
      <c r="A194" s="440"/>
      <c r="B194" s="150"/>
      <c r="C194" t="s">
        <v>759</v>
      </c>
      <c r="D194" s="282">
        <v>20.91</v>
      </c>
      <c r="E194" s="1"/>
      <c r="F194" s="163" t="s">
        <v>33</v>
      </c>
      <c r="G194" s="160"/>
      <c r="H194" s="155"/>
      <c r="I194" s="441"/>
    </row>
    <row r="195" spans="1:9" x14ac:dyDescent="0.2">
      <c r="A195" s="449"/>
      <c r="B195" s="151" t="s">
        <v>41</v>
      </c>
      <c r="C195" s="153" t="s">
        <v>43</v>
      </c>
      <c r="D195" s="132">
        <v>16.399999999999999</v>
      </c>
      <c r="E195" s="1"/>
      <c r="F195" s="146" t="s">
        <v>758</v>
      </c>
      <c r="G195" s="8" t="s">
        <v>298</v>
      </c>
      <c r="H195" s="217">
        <f>+$D$189*$D$190*$D$191</f>
        <v>78000</v>
      </c>
      <c r="I195" s="441"/>
    </row>
    <row r="196" spans="1:9" ht="15" x14ac:dyDescent="0.2">
      <c r="A196" s="449"/>
      <c r="B196" s="134" t="s">
        <v>62</v>
      </c>
      <c r="C196" s="154" t="s">
        <v>755</v>
      </c>
      <c r="D196" s="281">
        <f>+H197</f>
        <v>15600</v>
      </c>
      <c r="E196" s="1"/>
      <c r="F196" s="146" t="s">
        <v>757</v>
      </c>
      <c r="G196" s="8" t="s">
        <v>298</v>
      </c>
      <c r="H196" s="217">
        <f>+$H$195*1.2</f>
        <v>93600</v>
      </c>
      <c r="I196" s="441"/>
    </row>
    <row r="197" spans="1:9" x14ac:dyDescent="0.2">
      <c r="A197" s="449"/>
      <c r="B197" s="210"/>
      <c r="C197" s="153" t="s">
        <v>756</v>
      </c>
      <c r="D197" s="280">
        <f>+H195</f>
        <v>78000</v>
      </c>
      <c r="E197" s="121"/>
      <c r="F197" s="146" t="s">
        <v>755</v>
      </c>
      <c r="G197" s="8" t="s">
        <v>298</v>
      </c>
      <c r="H197" s="217">
        <f>+$H$196-$H$195</f>
        <v>15600</v>
      </c>
      <c r="I197" s="441"/>
    </row>
    <row r="198" spans="1:9" ht="15" x14ac:dyDescent="0.2">
      <c r="A198" s="449"/>
      <c r="B198" s="318"/>
      <c r="C198" s="460"/>
      <c r="D198" s="460"/>
      <c r="E198" s="121"/>
      <c r="F198" s="150" t="s">
        <v>561</v>
      </c>
      <c r="G198" s="432" t="s">
        <v>39</v>
      </c>
      <c r="H198" s="219">
        <f>+$H$197*$D$194/1000</f>
        <v>326.19600000000003</v>
      </c>
      <c r="I198" s="441"/>
    </row>
    <row r="199" spans="1:9" ht="28.5" x14ac:dyDescent="0.2">
      <c r="A199" s="449"/>
      <c r="B199" s="489" t="s">
        <v>1113</v>
      </c>
      <c r="C199" s="482">
        <f>$H$198</f>
        <v>326.19600000000003</v>
      </c>
      <c r="D199" s="322"/>
      <c r="E199" s="121"/>
      <c r="F199" s="151" t="s">
        <v>378</v>
      </c>
      <c r="G199" s="153" t="s">
        <v>563</v>
      </c>
      <c r="H199" s="271">
        <f>+$D$195*$H$198</f>
        <v>5349.6144000000004</v>
      </c>
      <c r="I199" s="441"/>
    </row>
    <row r="200" spans="1:9" ht="28.5" x14ac:dyDescent="0.2">
      <c r="A200" s="442"/>
      <c r="B200" s="489" t="s">
        <v>1114</v>
      </c>
      <c r="C200" s="485">
        <v>0</v>
      </c>
      <c r="D200" s="475"/>
      <c r="E200" s="443"/>
      <c r="F200" s="443"/>
      <c r="G200" s="443"/>
      <c r="H200" s="443"/>
      <c r="I200" s="444"/>
    </row>
    <row r="201" spans="1:9" x14ac:dyDescent="0.2"/>
    <row r="202" spans="1:9" x14ac:dyDescent="0.2">
      <c r="A202" s="445"/>
      <c r="B202" s="446"/>
      <c r="C202" s="446"/>
      <c r="D202" s="446"/>
      <c r="E202" s="446"/>
      <c r="F202" s="446"/>
      <c r="G202" s="446"/>
      <c r="H202" s="446"/>
      <c r="I202" s="447"/>
    </row>
    <row r="203" spans="1:9" ht="15" x14ac:dyDescent="0.2">
      <c r="A203" s="440"/>
      <c r="B203" s="20" t="s">
        <v>781</v>
      </c>
      <c r="C203" s="20"/>
      <c r="D203" s="20"/>
      <c r="E203" s="1"/>
      <c r="F203" s="318"/>
      <c r="G203" s="320"/>
      <c r="H203" s="320"/>
      <c r="I203" s="441"/>
    </row>
    <row r="204" spans="1:9" x14ac:dyDescent="0.2">
      <c r="A204" s="449"/>
      <c r="F204" s="320" t="s">
        <v>1096</v>
      </c>
      <c r="G204" s="482">
        <f>$H$211</f>
        <v>44.295000000000002</v>
      </c>
      <c r="H204" s="322"/>
      <c r="I204" s="450"/>
    </row>
    <row r="205" spans="1:9" ht="28.5" x14ac:dyDescent="0.2">
      <c r="A205" s="440"/>
      <c r="B205" s="133" t="s">
        <v>20</v>
      </c>
      <c r="C205" s="107"/>
      <c r="D205" s="108"/>
      <c r="E205" s="1"/>
      <c r="F205" s="489" t="s">
        <v>1112</v>
      </c>
      <c r="G205" s="482">
        <v>0</v>
      </c>
      <c r="H205" s="322"/>
      <c r="I205" s="441"/>
    </row>
    <row r="206" spans="1:9" x14ac:dyDescent="0.2">
      <c r="A206" s="440"/>
      <c r="B206" s="135" t="s">
        <v>334</v>
      </c>
      <c r="C206" s="118" t="s">
        <v>327</v>
      </c>
      <c r="D206" s="213">
        <f>ENERGIA!O248</f>
        <v>10</v>
      </c>
      <c r="E206" s="1"/>
      <c r="F206" s="139"/>
      <c r="G206" s="139"/>
      <c r="H206" s="12"/>
      <c r="I206" s="441"/>
    </row>
    <row r="207" spans="1:9" x14ac:dyDescent="0.2">
      <c r="A207" s="440"/>
      <c r="B207" s="135" t="s">
        <v>299</v>
      </c>
      <c r="C207" s="118" t="s">
        <v>53</v>
      </c>
      <c r="D207" s="213">
        <f>ENERGIA!O249</f>
        <v>5</v>
      </c>
      <c r="E207" s="1"/>
      <c r="F207" s="139"/>
      <c r="G207" s="139"/>
      <c r="H207" s="12"/>
      <c r="I207" s="441"/>
    </row>
    <row r="208" spans="1:9" x14ac:dyDescent="0.2">
      <c r="A208" s="440"/>
      <c r="B208" s="135" t="s">
        <v>537</v>
      </c>
      <c r="C208" s="118" t="s">
        <v>539</v>
      </c>
      <c r="D208" s="213">
        <f>ENERGIA!O250</f>
        <v>12</v>
      </c>
      <c r="E208" s="1"/>
      <c r="F208" s="139"/>
      <c r="G208" s="139"/>
      <c r="H208" s="12"/>
      <c r="I208" s="441"/>
    </row>
    <row r="209" spans="1:9" ht="15" x14ac:dyDescent="0.2">
      <c r="A209" s="440"/>
      <c r="B209" s="135" t="s">
        <v>31</v>
      </c>
      <c r="C209" s="118" t="s">
        <v>37</v>
      </c>
      <c r="D209" s="213">
        <f>ENERGIA!O251</f>
        <v>250</v>
      </c>
      <c r="E209" s="1"/>
      <c r="F209" s="163" t="s">
        <v>33</v>
      </c>
      <c r="G209" s="160"/>
      <c r="H209" s="155"/>
      <c r="I209" s="441"/>
    </row>
    <row r="210" spans="1:9" ht="15" x14ac:dyDescent="0.2">
      <c r="A210" s="440"/>
      <c r="B210" s="163" t="s">
        <v>348</v>
      </c>
      <c r="C210" s="107"/>
      <c r="D210" s="108"/>
      <c r="E210" s="1"/>
      <c r="F210" s="146" t="s">
        <v>540</v>
      </c>
      <c r="G210" s="8" t="s">
        <v>112</v>
      </c>
      <c r="H210" s="147">
        <f>+$D$206*$D$207*$D$208*$D$209</f>
        <v>150000</v>
      </c>
      <c r="I210" s="441"/>
    </row>
    <row r="211" spans="1:9" ht="15" x14ac:dyDescent="0.2">
      <c r="A211" s="440"/>
      <c r="B211" s="150" t="s">
        <v>34</v>
      </c>
      <c r="C211" s="1" t="s">
        <v>38</v>
      </c>
      <c r="D211" s="110">
        <v>0.29530000000000001</v>
      </c>
      <c r="E211" s="1"/>
      <c r="F211" s="146" t="s">
        <v>40</v>
      </c>
      <c r="G211" s="8" t="s">
        <v>39</v>
      </c>
      <c r="H211" s="147">
        <f>+$H$210*$D$211/1000</f>
        <v>44.295000000000002</v>
      </c>
      <c r="I211" s="441"/>
    </row>
    <row r="212" spans="1:9" x14ac:dyDescent="0.2">
      <c r="A212" s="440"/>
      <c r="B212" s="151" t="s">
        <v>41</v>
      </c>
      <c r="C212" s="153" t="s">
        <v>43</v>
      </c>
      <c r="D212" s="132">
        <v>16.399999999999999</v>
      </c>
      <c r="E212" s="1"/>
      <c r="F212" s="151" t="s">
        <v>378</v>
      </c>
      <c r="G212" s="131" t="s">
        <v>44</v>
      </c>
      <c r="H212" s="152">
        <f>+$H$211*$D$212</f>
        <v>726.43799999999999</v>
      </c>
      <c r="I212" s="441"/>
    </row>
    <row r="213" spans="1:9" x14ac:dyDescent="0.2">
      <c r="A213" s="442"/>
      <c r="B213" s="443"/>
      <c r="C213" s="443"/>
      <c r="D213" s="443"/>
      <c r="E213" s="443"/>
      <c r="F213" s="443"/>
      <c r="G213" s="443"/>
      <c r="H213" s="443"/>
      <c r="I213" s="444"/>
    </row>
    <row r="214" spans="1:9" x14ac:dyDescent="0.2"/>
    <row r="215" spans="1:9" x14ac:dyDescent="0.2">
      <c r="A215" s="445"/>
      <c r="B215" s="446"/>
      <c r="C215" s="446"/>
      <c r="D215" s="446"/>
      <c r="E215" s="446"/>
      <c r="F215" s="446"/>
      <c r="G215" s="446"/>
      <c r="H215" s="446"/>
      <c r="I215" s="447"/>
    </row>
    <row r="216" spans="1:9" ht="15" x14ac:dyDescent="0.2">
      <c r="A216" s="440"/>
      <c r="B216" s="20" t="s">
        <v>786</v>
      </c>
      <c r="C216" s="20"/>
      <c r="D216" s="20"/>
      <c r="E216" s="1"/>
      <c r="F216" s="139"/>
      <c r="G216" s="139"/>
      <c r="H216" s="12"/>
      <c r="I216" s="441"/>
    </row>
    <row r="217" spans="1:9" x14ac:dyDescent="0.2">
      <c r="A217" s="440"/>
      <c r="B217" s="1"/>
      <c r="C217" s="1"/>
      <c r="D217" s="1"/>
      <c r="E217" s="1"/>
      <c r="F217" s="139"/>
      <c r="G217" s="139"/>
      <c r="H217" s="12"/>
      <c r="I217" s="441"/>
    </row>
    <row r="218" spans="1:9" ht="15" x14ac:dyDescent="0.2">
      <c r="A218" s="440"/>
      <c r="B218" s="133" t="s">
        <v>20</v>
      </c>
      <c r="C218" s="107"/>
      <c r="D218" s="108"/>
      <c r="E218" s="1"/>
      <c r="F218" s="120" t="s">
        <v>542</v>
      </c>
      <c r="G218" s="120" t="s">
        <v>334</v>
      </c>
      <c r="H218" s="12"/>
      <c r="I218" s="441"/>
    </row>
    <row r="219" spans="1:9" ht="15" x14ac:dyDescent="0.2">
      <c r="A219" s="440"/>
      <c r="B219" s="135" t="s">
        <v>386</v>
      </c>
      <c r="C219" s="118" t="s">
        <v>53</v>
      </c>
      <c r="D219" s="213" t="str">
        <f>ENERGIA!O274</f>
        <v>Potencia nominal</v>
      </c>
      <c r="E219" s="1"/>
      <c r="F219" s="318"/>
      <c r="G219" s="320"/>
      <c r="H219" s="320"/>
      <c r="I219" s="441"/>
    </row>
    <row r="220" spans="1:9" x14ac:dyDescent="0.2">
      <c r="A220" s="440"/>
      <c r="B220" s="135" t="s">
        <v>543</v>
      </c>
      <c r="C220" s="118" t="s">
        <v>544</v>
      </c>
      <c r="D220" s="136">
        <f>ENERGIA!O275</f>
        <v>1</v>
      </c>
      <c r="E220" s="1"/>
      <c r="F220" s="320" t="s">
        <v>1090</v>
      </c>
      <c r="G220" s="482">
        <f>+$H$224</f>
        <v>2.5868280000000001</v>
      </c>
      <c r="H220" s="322"/>
      <c r="I220" s="441"/>
    </row>
    <row r="221" spans="1:9" x14ac:dyDescent="0.2">
      <c r="A221" s="440"/>
      <c r="B221" s="135" t="s">
        <v>785</v>
      </c>
      <c r="C221" s="118" t="s">
        <v>784</v>
      </c>
      <c r="D221" s="136">
        <f>ENERGIA!O276</f>
        <v>24</v>
      </c>
      <c r="E221" s="1"/>
      <c r="F221" s="320" t="s">
        <v>1104</v>
      </c>
      <c r="G221" s="482">
        <v>0</v>
      </c>
      <c r="H221" s="322"/>
      <c r="I221" s="441"/>
    </row>
    <row r="222" spans="1:9" ht="15" x14ac:dyDescent="0.2">
      <c r="A222" s="440"/>
      <c r="B222" s="163" t="s">
        <v>348</v>
      </c>
      <c r="C222" s="107"/>
      <c r="D222" s="108"/>
      <c r="E222" s="1"/>
      <c r="F222" s="163" t="s">
        <v>33</v>
      </c>
      <c r="G222" s="160"/>
      <c r="H222" s="155"/>
      <c r="I222" s="441"/>
    </row>
    <row r="223" spans="1:9" ht="15" x14ac:dyDescent="0.2">
      <c r="A223" s="440"/>
      <c r="B223" s="150" t="s">
        <v>31</v>
      </c>
      <c r="C223" s="8" t="s">
        <v>37</v>
      </c>
      <c r="D223" s="110">
        <v>365</v>
      </c>
      <c r="E223" s="1"/>
      <c r="F223" s="146" t="s">
        <v>546</v>
      </c>
      <c r="G223" s="8" t="s">
        <v>112</v>
      </c>
      <c r="H223" s="147">
        <f>+IF($D$219="Expectativa de generación anual",$D$220,IF($D$219="Potencia Nominal",$D$220*$D$221*$D$223))</f>
        <v>8760</v>
      </c>
      <c r="I223" s="441"/>
    </row>
    <row r="224" spans="1:9" ht="15" x14ac:dyDescent="0.2">
      <c r="A224" s="440"/>
      <c r="B224" s="150" t="s">
        <v>34</v>
      </c>
      <c r="C224" s="1" t="s">
        <v>38</v>
      </c>
      <c r="D224" s="110">
        <v>0.29530000000000001</v>
      </c>
      <c r="E224" s="1"/>
      <c r="F224" s="146" t="s">
        <v>40</v>
      </c>
      <c r="G224" s="8" t="s">
        <v>39</v>
      </c>
      <c r="H224" s="147">
        <f>+$H$223/1000*$D$224</f>
        <v>2.5868280000000001</v>
      </c>
      <c r="I224" s="441"/>
    </row>
    <row r="225" spans="1:9" x14ac:dyDescent="0.2">
      <c r="A225" s="440"/>
      <c r="B225" s="151" t="s">
        <v>41</v>
      </c>
      <c r="C225" s="153" t="s">
        <v>43</v>
      </c>
      <c r="D225" s="132">
        <v>16.399999999999999</v>
      </c>
      <c r="E225" s="1"/>
      <c r="F225" s="151" t="s">
        <v>378</v>
      </c>
      <c r="G225" s="131" t="s">
        <v>44</v>
      </c>
      <c r="H225" s="152">
        <f>+$H$224*$D$225</f>
        <v>42.423979199999998</v>
      </c>
      <c r="I225" s="441"/>
    </row>
    <row r="226" spans="1:9" ht="15" x14ac:dyDescent="0.2">
      <c r="A226" s="440"/>
      <c r="B226" s="134" t="s">
        <v>62</v>
      </c>
      <c r="C226" s="154" t="s">
        <v>45</v>
      </c>
      <c r="D226" s="155">
        <v>0</v>
      </c>
      <c r="E226" s="1"/>
      <c r="F226" s="139"/>
      <c r="G226" s="139"/>
      <c r="H226" s="12"/>
      <c r="I226" s="441"/>
    </row>
    <row r="227" spans="1:9" x14ac:dyDescent="0.2">
      <c r="A227" s="440"/>
      <c r="B227" s="151"/>
      <c r="C227" s="153" t="s">
        <v>46</v>
      </c>
      <c r="D227" s="164">
        <f>+H224</f>
        <v>2.5868280000000001</v>
      </c>
      <c r="E227" s="1"/>
      <c r="I227" s="441"/>
    </row>
    <row r="228" spans="1:9" x14ac:dyDescent="0.2">
      <c r="A228" s="442"/>
      <c r="B228" s="443"/>
      <c r="C228" s="443"/>
      <c r="D228" s="443"/>
      <c r="E228" s="443"/>
      <c r="F228" s="443"/>
      <c r="G228" s="443"/>
      <c r="H228" s="443"/>
      <c r="I228" s="444"/>
    </row>
    <row r="229" spans="1:9" x14ac:dyDescent="0.2"/>
    <row r="230" spans="1:9" x14ac:dyDescent="0.2"/>
    <row r="231" spans="1:9" x14ac:dyDescent="0.2"/>
    <row r="232" spans="1:9" x14ac:dyDescent="0.2"/>
    <row r="233" spans="1:9" x14ac:dyDescent="0.2"/>
    <row r="234" spans="1:9" x14ac:dyDescent="0.2"/>
    <row r="235" spans="1:9" x14ac:dyDescent="0.2"/>
    <row r="236" spans="1:9" x14ac:dyDescent="0.2"/>
    <row r="237" spans="1:9" x14ac:dyDescent="0.2"/>
    <row r="238" spans="1:9" x14ac:dyDescent="0.2"/>
    <row r="239" spans="1:9" x14ac:dyDescent="0.2"/>
    <row r="240" spans="1:9" x14ac:dyDescent="0.2"/>
  </sheetData>
  <mergeCells count="22">
    <mergeCell ref="B94:F94"/>
    <mergeCell ref="B97:E97"/>
    <mergeCell ref="B100:E100"/>
    <mergeCell ref="C101:E101"/>
    <mergeCell ref="C102:E102"/>
    <mergeCell ref="C103:E103"/>
    <mergeCell ref="C104:E104"/>
    <mergeCell ref="C105:E105"/>
    <mergeCell ref="B134:E134"/>
    <mergeCell ref="B110:C110"/>
    <mergeCell ref="B114:C114"/>
    <mergeCell ref="B109:C109"/>
    <mergeCell ref="B107:D107"/>
    <mergeCell ref="B108:C108"/>
    <mergeCell ref="B135:E135"/>
    <mergeCell ref="F145:F146"/>
    <mergeCell ref="B115:C115"/>
    <mergeCell ref="B116:C116"/>
    <mergeCell ref="B119:E119"/>
    <mergeCell ref="B130:E130"/>
    <mergeCell ref="B133:E133"/>
    <mergeCell ref="B136:E136"/>
  </mergeCells>
  <dataValidations disablePrompts="1" count="1">
    <dataValidation type="list" allowBlank="1" showInputMessage="1" showErrorMessage="1" sqref="D99 D106:D107 D112" xr:uid="{E9887BDF-9BEB-4E3D-9710-45F68C72F5A3}">
      <formula1>#REF!</formula1>
    </dataValidation>
  </dataValidations>
  <hyperlinks>
    <hyperlink ref="B134" r:id="rId1" xr:uid="{9E3A6BAA-563E-48AF-9E0A-07C9482C3A0F}"/>
    <hyperlink ref="F187" r:id="rId2" xr:uid="{90EF263A-A012-45AD-9B8B-499E2B17CE70}"/>
    <hyperlink ref="F186" r:id="rId3" display="https://ourworldindata.org/explorers/food-footprints?tab=table&amp;facet=none&amp;country=Almonds~Bacon~Bananas~Beans~Beef+%28beef+herd%29~Beef+%28dairy+herd%29~Beefburger~Cheese~Cow%27s+milk~Eggs~Lamb+%26+Mutton~Maize~Milk~Peas~Penne+pasta~Pig+Meat~Pizza~Poultry+Meat~Prawns+%28farmed%29~Rice~Steak+pie~Tofu~Tomatoes~Vegetable+lasagne~Wheat+%26+Rye&amp;pickerSort=desc&amp;pickerMetric=ghg_kg&amp;Commodity+or+Specific+Food+Product=Specific+food+products&amp;Environmental+Impact=Carbon+footprint&amp;Kilogram+%2F+Protein+%2F+Calories=Per+kilogram&amp;By+stage+of+supply+chain=false" xr:uid="{5CE9BB86-F886-49E3-A3FB-69AC6D7DAAB8}"/>
  </hyperlinks>
  <pageMargins left="0.7" right="0.7" top="0.75" bottom="0.75" header="0.3" footer="0.3"/>
  <pageSetup orientation="portrait" horizontalDpi="300" verticalDpi="300" r:id="rId4"/>
  <tableParts count="1">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8F73A-CC02-48CB-A762-A9760D58B788}">
  <sheetPr>
    <tabColor theme="3" tint="-0.249977111117893"/>
  </sheetPr>
  <dimension ref="A1:Q71"/>
  <sheetViews>
    <sheetView topLeftCell="E1" zoomScale="110" zoomScaleNormal="110" workbookViewId="0">
      <selection activeCell="Q61" sqref="Q61"/>
    </sheetView>
  </sheetViews>
  <sheetFormatPr baseColWidth="10" defaultColWidth="0" defaultRowHeight="14.25" zeroHeight="1" x14ac:dyDescent="0.2"/>
  <cols>
    <col min="1" max="1" width="2.625" customWidth="1"/>
    <col min="2" max="5" width="11" customWidth="1"/>
    <col min="6" max="6" width="3.625" customWidth="1"/>
    <col min="7" max="7" width="11" customWidth="1"/>
    <col min="8" max="8" width="2.625" customWidth="1"/>
    <col min="9" max="10" width="11" customWidth="1"/>
    <col min="11" max="12" width="2.625" customWidth="1"/>
    <col min="13" max="13" width="11" customWidth="1"/>
    <col min="14" max="14" width="2.625" customWidth="1"/>
    <col min="15" max="17" width="11" customWidth="1"/>
    <col min="18" max="16384" width="11" hidden="1"/>
  </cols>
  <sheetData>
    <row r="1" spans="1:17" x14ac:dyDescent="0.2">
      <c r="A1" s="2"/>
      <c r="B1" s="2"/>
      <c r="C1" s="3"/>
      <c r="D1" s="4"/>
      <c r="E1" s="4"/>
      <c r="F1" s="4"/>
      <c r="G1" s="4"/>
      <c r="H1" s="4"/>
      <c r="I1" s="4"/>
      <c r="J1" s="4"/>
      <c r="K1" s="4"/>
      <c r="L1" s="4"/>
      <c r="M1" s="4"/>
      <c r="N1" s="4"/>
      <c r="O1" s="4"/>
      <c r="P1" s="4"/>
      <c r="Q1" s="4"/>
    </row>
    <row r="2" spans="1:17" x14ac:dyDescent="0.2">
      <c r="A2" s="2"/>
      <c r="B2" s="2"/>
      <c r="C2" s="3"/>
      <c r="D2" s="4"/>
      <c r="E2" s="4"/>
      <c r="F2" s="4"/>
      <c r="G2" s="4"/>
      <c r="H2" s="4"/>
      <c r="I2" s="4"/>
      <c r="J2" s="4"/>
      <c r="K2" s="4"/>
      <c r="L2" s="4"/>
      <c r="M2" s="4"/>
      <c r="N2" s="4"/>
      <c r="O2" s="4"/>
      <c r="P2" s="4"/>
      <c r="Q2" s="4"/>
    </row>
    <row r="3" spans="1:17" x14ac:dyDescent="0.2">
      <c r="A3" s="2"/>
      <c r="B3" s="2"/>
      <c r="C3" s="671"/>
      <c r="D3" s="671"/>
      <c r="E3" s="671"/>
      <c r="F3" s="671"/>
      <c r="G3" s="671"/>
      <c r="H3" s="671"/>
      <c r="I3" s="671"/>
      <c r="J3" s="671"/>
      <c r="K3" s="671"/>
      <c r="L3" s="671"/>
      <c r="M3" s="4"/>
      <c r="N3" s="4"/>
      <c r="O3" s="4"/>
      <c r="P3" s="4"/>
      <c r="Q3" s="4"/>
    </row>
    <row r="4" spans="1:17" x14ac:dyDescent="0.2">
      <c r="A4" s="2"/>
      <c r="B4" s="2"/>
      <c r="C4" s="5"/>
      <c r="D4" s="5"/>
      <c r="E4" s="5"/>
      <c r="F4" s="5"/>
      <c r="G4" s="5"/>
      <c r="H4" s="5"/>
      <c r="I4" s="5"/>
      <c r="J4" s="5"/>
      <c r="K4" s="18"/>
      <c r="L4" s="18"/>
      <c r="M4" s="4"/>
      <c r="N4" s="4"/>
      <c r="O4" s="4"/>
      <c r="P4" s="4"/>
      <c r="Q4" s="4"/>
    </row>
    <row r="5" spans="1:17" x14ac:dyDescent="0.2">
      <c r="A5" s="2"/>
      <c r="B5" s="2"/>
      <c r="C5" s="5"/>
      <c r="D5" s="5"/>
      <c r="E5" s="5"/>
      <c r="F5" s="6"/>
      <c r="G5" s="486" t="s">
        <v>123</v>
      </c>
      <c r="H5" s="477"/>
      <c r="I5" s="341"/>
      <c r="J5" s="5"/>
      <c r="K5" s="18"/>
      <c r="L5" s="18"/>
      <c r="M5" s="4"/>
      <c r="N5" s="4"/>
      <c r="O5" s="4"/>
      <c r="P5" s="4"/>
      <c r="Q5" s="4"/>
    </row>
    <row r="6" spans="1:17" x14ac:dyDescent="0.2">
      <c r="A6" s="2"/>
      <c r="B6" s="2"/>
      <c r="C6" s="5"/>
      <c r="D6" s="5"/>
      <c r="E6" s="5"/>
      <c r="F6" s="6"/>
      <c r="G6" s="486" t="s">
        <v>124</v>
      </c>
      <c r="H6" s="477"/>
      <c r="I6" s="341"/>
      <c r="J6" s="5"/>
      <c r="K6" s="18"/>
      <c r="L6" s="18"/>
      <c r="M6" s="4"/>
      <c r="N6" s="4"/>
      <c r="O6" s="4"/>
      <c r="P6" s="4"/>
      <c r="Q6" s="4"/>
    </row>
    <row r="7" spans="1:17" x14ac:dyDescent="0.2">
      <c r="A7" s="2"/>
      <c r="B7" s="2"/>
      <c r="C7" s="5"/>
      <c r="D7" s="5"/>
      <c r="E7" s="5"/>
      <c r="F7" s="6"/>
      <c r="G7" s="486" t="s">
        <v>125</v>
      </c>
      <c r="H7" s="477"/>
      <c r="I7" s="341"/>
      <c r="J7" s="5"/>
      <c r="K7" s="18"/>
      <c r="L7" s="18"/>
      <c r="M7" s="4"/>
      <c r="N7" s="4"/>
      <c r="O7" s="4"/>
      <c r="P7" s="4"/>
      <c r="Q7" s="4"/>
    </row>
    <row r="8" spans="1:17" x14ac:dyDescent="0.2">
      <c r="A8" s="2"/>
      <c r="B8" s="2"/>
      <c r="C8" s="5"/>
      <c r="D8" s="5"/>
      <c r="E8" s="5"/>
      <c r="F8" s="6"/>
      <c r="G8" s="486" t="s">
        <v>126</v>
      </c>
      <c r="H8" s="477"/>
      <c r="I8" s="341"/>
      <c r="J8" s="5"/>
      <c r="K8" s="18"/>
      <c r="L8" s="18"/>
      <c r="M8" s="4"/>
      <c r="N8" s="4"/>
      <c r="O8" s="4"/>
      <c r="P8" s="4"/>
      <c r="Q8" s="4"/>
    </row>
    <row r="9" spans="1:17" x14ac:dyDescent="0.2">
      <c r="A9" s="2"/>
      <c r="B9" s="2"/>
      <c r="C9" s="5"/>
      <c r="D9" s="5"/>
      <c r="E9" s="5"/>
      <c r="F9" s="6"/>
      <c r="H9" s="5"/>
      <c r="I9" s="5"/>
      <c r="J9" s="5"/>
      <c r="K9" s="18"/>
      <c r="L9" s="18"/>
      <c r="M9" s="4"/>
      <c r="N9" s="4"/>
      <c r="O9" s="4"/>
      <c r="P9" s="4"/>
      <c r="Q9" s="4"/>
    </row>
    <row r="10" spans="1:17" x14ac:dyDescent="0.2">
      <c r="A10" s="2"/>
      <c r="B10" s="2"/>
      <c r="C10" s="5"/>
      <c r="D10" s="5"/>
      <c r="E10" s="5"/>
      <c r="F10" s="5"/>
      <c r="G10" s="5"/>
      <c r="H10" s="5"/>
      <c r="I10" s="5"/>
      <c r="J10" s="5"/>
      <c r="K10" s="18"/>
      <c r="L10" s="18"/>
      <c r="M10" s="4"/>
      <c r="N10" s="4"/>
      <c r="O10" s="4"/>
      <c r="P10" s="4"/>
      <c r="Q10" s="4"/>
    </row>
    <row r="11" spans="1:17" x14ac:dyDescent="0.2">
      <c r="A11" s="2"/>
      <c r="B11" s="2"/>
      <c r="C11" s="3"/>
      <c r="D11" s="4"/>
      <c r="E11" s="4"/>
      <c r="F11" s="4"/>
      <c r="G11" s="4"/>
      <c r="H11" s="4"/>
      <c r="I11" s="4"/>
      <c r="J11" s="4"/>
      <c r="K11" s="4"/>
      <c r="L11" s="4"/>
      <c r="M11" s="4"/>
      <c r="N11" s="4"/>
      <c r="O11" s="4"/>
      <c r="P11" s="4"/>
      <c r="Q11" s="4"/>
    </row>
    <row r="12" spans="1:17" ht="20.100000000000001" customHeight="1" x14ac:dyDescent="0.2">
      <c r="A12" s="2"/>
      <c r="B12" s="2"/>
      <c r="C12" s="3"/>
      <c r="D12" s="4"/>
      <c r="E12" s="672" t="s">
        <v>127</v>
      </c>
      <c r="F12" s="673" t="s">
        <v>2</v>
      </c>
      <c r="G12" s="673"/>
      <c r="H12" s="673"/>
      <c r="I12" s="673"/>
      <c r="J12" s="674" t="s">
        <v>128</v>
      </c>
      <c r="K12" s="674"/>
      <c r="L12" s="674"/>
      <c r="M12" s="674"/>
      <c r="N12" s="674"/>
      <c r="O12" s="674"/>
      <c r="P12" s="674"/>
      <c r="Q12" s="4"/>
    </row>
    <row r="13" spans="1:17" ht="20.100000000000001" customHeight="1" x14ac:dyDescent="0.2">
      <c r="A13" s="2"/>
      <c r="B13" s="2"/>
      <c r="C13" s="3"/>
      <c r="D13" s="4"/>
      <c r="E13" s="672"/>
      <c r="F13" s="673" t="s">
        <v>3</v>
      </c>
      <c r="G13" s="673"/>
      <c r="H13" s="673"/>
      <c r="I13" s="673"/>
      <c r="J13" s="674" t="s">
        <v>129</v>
      </c>
      <c r="K13" s="674"/>
      <c r="L13" s="674"/>
      <c r="M13" s="674"/>
      <c r="N13" s="674"/>
      <c r="O13" s="674"/>
      <c r="P13" s="674"/>
      <c r="Q13" s="4"/>
    </row>
    <row r="14" spans="1:17" ht="84.95" customHeight="1" x14ac:dyDescent="0.2">
      <c r="A14" s="2"/>
      <c r="B14" s="2"/>
      <c r="C14" s="3"/>
      <c r="D14" s="4"/>
      <c r="E14" s="4"/>
      <c r="F14" s="673" t="s">
        <v>50</v>
      </c>
      <c r="G14" s="673"/>
      <c r="H14" s="673"/>
      <c r="I14" s="673"/>
      <c r="J14" s="675" t="s">
        <v>954</v>
      </c>
      <c r="K14" s="675"/>
      <c r="L14" s="675"/>
      <c r="M14" s="675"/>
      <c r="N14" s="675"/>
      <c r="O14" s="675"/>
      <c r="P14" s="675"/>
      <c r="Q14" s="4"/>
    </row>
    <row r="15" spans="1:17" x14ac:dyDescent="0.2">
      <c r="A15" s="2"/>
      <c r="B15" s="2"/>
      <c r="C15" s="3"/>
      <c r="D15" s="4"/>
      <c r="E15" s="4"/>
      <c r="F15" s="4"/>
      <c r="G15" s="4"/>
      <c r="H15" s="4"/>
      <c r="I15" s="4"/>
      <c r="J15" s="4"/>
      <c r="K15" s="4"/>
      <c r="L15" s="4"/>
      <c r="M15" s="4"/>
      <c r="N15" s="4"/>
      <c r="O15" s="4"/>
      <c r="P15" s="4"/>
      <c r="Q15" s="4"/>
    </row>
    <row r="16" spans="1:17" ht="15" x14ac:dyDescent="0.2">
      <c r="A16" s="2"/>
      <c r="B16" s="2"/>
      <c r="C16" s="3"/>
      <c r="D16" s="4"/>
      <c r="E16" s="4"/>
      <c r="F16" s="676" t="s">
        <v>20</v>
      </c>
      <c r="G16" s="676"/>
      <c r="H16" s="676"/>
      <c r="I16" s="676"/>
      <c r="J16" s="676"/>
      <c r="K16" s="676"/>
      <c r="L16" s="676"/>
      <c r="M16" s="676"/>
      <c r="N16" s="676"/>
      <c r="O16" s="676"/>
      <c r="P16" s="676"/>
      <c r="Q16" s="4"/>
    </row>
    <row r="17" spans="1:17" ht="9.9499999999999993" customHeight="1" x14ac:dyDescent="0.2">
      <c r="A17" s="2"/>
      <c r="B17" s="2"/>
      <c r="C17" s="3"/>
      <c r="D17" s="4"/>
      <c r="E17" s="4"/>
      <c r="F17" s="4"/>
      <c r="G17" s="4"/>
      <c r="H17" s="4"/>
      <c r="I17" s="4"/>
      <c r="J17" s="4"/>
      <c r="K17" s="4"/>
      <c r="L17" s="4"/>
      <c r="M17" s="4"/>
      <c r="N17" s="4"/>
      <c r="O17" s="4"/>
      <c r="P17" s="4"/>
      <c r="Q17" s="4"/>
    </row>
    <row r="18" spans="1:17" x14ac:dyDescent="0.2">
      <c r="A18" s="2"/>
      <c r="B18" s="2"/>
      <c r="C18" s="3"/>
      <c r="D18" s="4"/>
      <c r="E18" s="4"/>
      <c r="F18" s="17" t="s">
        <v>1022</v>
      </c>
      <c r="G18" s="4"/>
      <c r="H18" s="4"/>
      <c r="I18" s="4"/>
      <c r="J18" s="4"/>
      <c r="K18" s="4"/>
      <c r="L18" s="4"/>
      <c r="M18" s="4"/>
      <c r="N18" s="4"/>
      <c r="O18" s="608" t="s">
        <v>955</v>
      </c>
      <c r="P18" s="608"/>
      <c r="Q18" s="4"/>
    </row>
    <row r="19" spans="1:17" x14ac:dyDescent="0.2">
      <c r="A19" s="2"/>
      <c r="B19" s="2"/>
      <c r="C19" s="3"/>
      <c r="D19" s="4"/>
      <c r="E19" s="4"/>
      <c r="F19" s="4"/>
      <c r="G19" s="377" t="s">
        <v>142</v>
      </c>
      <c r="H19" s="4"/>
      <c r="I19" s="4"/>
      <c r="J19" s="4"/>
      <c r="K19" s="4"/>
      <c r="L19" s="4"/>
      <c r="M19" s="4"/>
      <c r="N19" s="4"/>
      <c r="O19" s="677"/>
      <c r="P19" s="677"/>
      <c r="Q19" s="4"/>
    </row>
    <row r="20" spans="1:17" x14ac:dyDescent="0.2">
      <c r="A20" s="2"/>
      <c r="B20" s="2"/>
      <c r="C20" s="3"/>
      <c r="D20" s="4"/>
      <c r="E20" s="4"/>
      <c r="F20" s="17" t="s">
        <v>1023</v>
      </c>
      <c r="G20" s="4"/>
      <c r="H20" s="4"/>
      <c r="I20" s="4"/>
      <c r="J20" s="4"/>
      <c r="K20" s="4"/>
      <c r="L20" s="4"/>
      <c r="M20" s="4"/>
      <c r="N20" s="4"/>
      <c r="O20" s="538">
        <v>200</v>
      </c>
      <c r="P20" s="324" t="s">
        <v>168</v>
      </c>
      <c r="Q20" s="4"/>
    </row>
    <row r="21" spans="1:17" x14ac:dyDescent="0.2">
      <c r="A21" s="2"/>
      <c r="B21" s="2"/>
      <c r="C21" s="3"/>
      <c r="D21" s="4"/>
      <c r="E21" s="4"/>
      <c r="F21" s="17" t="s">
        <v>1024</v>
      </c>
      <c r="G21" s="4"/>
      <c r="H21" s="4"/>
      <c r="I21" s="4"/>
      <c r="J21" s="4"/>
      <c r="K21" s="4"/>
      <c r="L21" s="4"/>
      <c r="M21" s="4"/>
      <c r="N21" s="4"/>
      <c r="O21" s="536">
        <v>7</v>
      </c>
      <c r="P21" s="324" t="s">
        <v>145</v>
      </c>
      <c r="Q21" s="4"/>
    </row>
    <row r="22" spans="1:17" x14ac:dyDescent="0.2">
      <c r="A22" s="2"/>
      <c r="B22" s="2"/>
      <c r="C22" s="3"/>
      <c r="D22" s="4"/>
      <c r="E22" s="4"/>
      <c r="F22" s="17" t="s">
        <v>1025</v>
      </c>
      <c r="G22" s="4"/>
      <c r="H22" s="4"/>
      <c r="I22" s="4"/>
      <c r="J22" s="4"/>
      <c r="K22" s="4"/>
      <c r="L22" s="4"/>
      <c r="M22" s="4"/>
      <c r="N22" s="4"/>
      <c r="O22" s="539">
        <v>8</v>
      </c>
      <c r="P22" s="324" t="s">
        <v>147</v>
      </c>
      <c r="Q22" s="4"/>
    </row>
    <row r="23" spans="1:17" x14ac:dyDescent="0.2">
      <c r="A23" s="2"/>
      <c r="B23" s="2"/>
      <c r="C23" s="3"/>
      <c r="D23" s="4"/>
      <c r="E23" s="4"/>
      <c r="F23" s="4"/>
      <c r="G23" s="4"/>
      <c r="H23" s="4"/>
      <c r="I23" s="4"/>
      <c r="J23" s="4"/>
      <c r="K23" s="4"/>
      <c r="L23" s="4"/>
      <c r="M23" s="4"/>
      <c r="N23" s="4"/>
      <c r="O23" s="4"/>
      <c r="P23" s="4"/>
      <c r="Q23" s="4"/>
    </row>
    <row r="24" spans="1:17" ht="15" x14ac:dyDescent="0.2">
      <c r="A24" s="2"/>
      <c r="B24" s="2"/>
      <c r="C24" s="3"/>
      <c r="D24" s="4"/>
      <c r="E24" s="4"/>
      <c r="F24" s="676" t="s">
        <v>36</v>
      </c>
      <c r="G24" s="676"/>
      <c r="H24" s="676"/>
      <c r="I24" s="676"/>
      <c r="J24" s="676"/>
      <c r="K24" s="676"/>
      <c r="L24" s="676"/>
      <c r="M24" s="676"/>
      <c r="N24" s="676"/>
      <c r="O24" s="676"/>
      <c r="P24" s="676"/>
      <c r="Q24" s="4"/>
    </row>
    <row r="25" spans="1:17" ht="9.9499999999999993" customHeight="1" x14ac:dyDescent="0.2">
      <c r="A25" s="2"/>
      <c r="B25" s="2"/>
      <c r="C25" s="3"/>
      <c r="D25" s="4"/>
      <c r="E25" s="4"/>
      <c r="F25" s="4"/>
      <c r="G25" s="4"/>
      <c r="H25" s="4"/>
      <c r="I25" s="4"/>
      <c r="J25" s="4"/>
      <c r="K25" s="4"/>
      <c r="L25" s="4"/>
      <c r="M25" s="4"/>
      <c r="N25" s="4"/>
      <c r="O25" s="4"/>
      <c r="P25" s="4"/>
      <c r="Q25" s="4"/>
    </row>
    <row r="26" spans="1:17" x14ac:dyDescent="0.2">
      <c r="A26" s="2"/>
      <c r="B26" s="2"/>
      <c r="C26" s="3"/>
      <c r="D26" s="4"/>
      <c r="E26" s="4"/>
      <c r="F26" s="17" t="s">
        <v>172</v>
      </c>
      <c r="G26" s="4"/>
      <c r="H26" s="4"/>
      <c r="I26" s="4"/>
      <c r="J26" s="4"/>
      <c r="K26" s="4"/>
      <c r="L26" s="4"/>
      <c r="M26" s="4"/>
      <c r="N26" s="4"/>
      <c r="O26" s="505">
        <f>+Datos_agua!B23</f>
        <v>6.8</v>
      </c>
      <c r="P26" s="324" t="s">
        <v>111</v>
      </c>
      <c r="Q26" s="4"/>
    </row>
    <row r="27" spans="1:17" x14ac:dyDescent="0.2">
      <c r="A27" s="2"/>
      <c r="B27" s="2"/>
      <c r="C27" s="3"/>
      <c r="D27" s="4"/>
      <c r="E27" s="4"/>
      <c r="F27" s="4"/>
      <c r="G27" s="4"/>
      <c r="H27" s="4"/>
      <c r="I27" s="4"/>
      <c r="J27" s="4"/>
      <c r="K27" s="4"/>
      <c r="L27" s="4"/>
      <c r="M27" s="4"/>
      <c r="N27" s="4"/>
      <c r="O27" s="4"/>
      <c r="P27" s="324"/>
      <c r="Q27" s="4"/>
    </row>
    <row r="28" spans="1:17" x14ac:dyDescent="0.2">
      <c r="A28" s="2"/>
      <c r="B28" s="2"/>
      <c r="C28" s="3"/>
      <c r="D28" s="4"/>
      <c r="E28" s="4"/>
      <c r="F28" s="4"/>
      <c r="G28" s="4"/>
      <c r="H28" s="4"/>
      <c r="I28" s="4"/>
      <c r="J28" s="4"/>
      <c r="K28" s="4"/>
      <c r="L28" s="4"/>
      <c r="M28" s="4"/>
      <c r="N28" s="4"/>
      <c r="O28" s="4"/>
      <c r="P28" s="324"/>
      <c r="Q28" s="4"/>
    </row>
    <row r="29" spans="1:17" ht="20.100000000000001" customHeight="1" x14ac:dyDescent="0.2">
      <c r="A29" s="2"/>
      <c r="B29" s="2"/>
      <c r="C29" s="3"/>
      <c r="D29" s="4"/>
      <c r="E29" s="672" t="s">
        <v>173</v>
      </c>
      <c r="F29" s="673" t="s">
        <v>2</v>
      </c>
      <c r="G29" s="673"/>
      <c r="H29" s="673"/>
      <c r="I29" s="673"/>
      <c r="J29" s="674" t="s">
        <v>174</v>
      </c>
      <c r="K29" s="674"/>
      <c r="L29" s="674"/>
      <c r="M29" s="674"/>
      <c r="N29" s="674"/>
      <c r="O29" s="674"/>
      <c r="P29" s="674"/>
      <c r="Q29" s="4"/>
    </row>
    <row r="30" spans="1:17" ht="20.100000000000001" customHeight="1" x14ac:dyDescent="0.2">
      <c r="A30" s="2"/>
      <c r="B30" s="2"/>
      <c r="C30" s="3"/>
      <c r="D30" s="4"/>
      <c r="E30" s="672"/>
      <c r="F30" s="673" t="s">
        <v>3</v>
      </c>
      <c r="G30" s="673"/>
      <c r="H30" s="673"/>
      <c r="I30" s="673"/>
      <c r="J30" s="674" t="s">
        <v>956</v>
      </c>
      <c r="K30" s="674"/>
      <c r="L30" s="674"/>
      <c r="M30" s="674"/>
      <c r="N30" s="674"/>
      <c r="O30" s="674"/>
      <c r="P30" s="674"/>
      <c r="Q30" s="4"/>
    </row>
    <row r="31" spans="1:17" ht="120" customHeight="1" x14ac:dyDescent="0.2">
      <c r="A31" s="2"/>
      <c r="B31" s="2"/>
      <c r="C31" s="3"/>
      <c r="D31" s="4"/>
      <c r="E31" s="4"/>
      <c r="F31" s="673" t="s">
        <v>50</v>
      </c>
      <c r="G31" s="673"/>
      <c r="H31" s="673"/>
      <c r="I31" s="673"/>
      <c r="J31" s="678" t="s">
        <v>175</v>
      </c>
      <c r="K31" s="674"/>
      <c r="L31" s="674"/>
      <c r="M31" s="674"/>
      <c r="N31" s="674"/>
      <c r="O31" s="674"/>
      <c r="P31" s="674"/>
      <c r="Q31" s="4"/>
    </row>
    <row r="32" spans="1:17" x14ac:dyDescent="0.2">
      <c r="A32" s="2"/>
      <c r="B32" s="2"/>
      <c r="C32" s="3"/>
      <c r="D32" s="4"/>
      <c r="E32" s="4"/>
      <c r="F32" s="4"/>
      <c r="G32" s="4"/>
      <c r="H32" s="4"/>
      <c r="I32" s="4"/>
      <c r="J32" s="4"/>
      <c r="K32" s="4"/>
      <c r="L32" s="4"/>
      <c r="M32" s="4"/>
      <c r="N32" s="4"/>
      <c r="O32" s="4"/>
      <c r="P32" s="4"/>
      <c r="Q32" s="4"/>
    </row>
    <row r="33" spans="1:17" ht="15" x14ac:dyDescent="0.2">
      <c r="A33" s="2"/>
      <c r="B33" s="2"/>
      <c r="C33" s="3"/>
      <c r="D33" s="4"/>
      <c r="E33" s="4"/>
      <c r="F33" s="676" t="s">
        <v>20</v>
      </c>
      <c r="G33" s="676"/>
      <c r="H33" s="676"/>
      <c r="I33" s="676"/>
      <c r="J33" s="676"/>
      <c r="K33" s="676"/>
      <c r="L33" s="676"/>
      <c r="M33" s="676"/>
      <c r="N33" s="676"/>
      <c r="O33" s="676"/>
      <c r="P33" s="676"/>
      <c r="Q33" s="4"/>
    </row>
    <row r="34" spans="1:17" ht="9.9499999999999993" customHeight="1" x14ac:dyDescent="0.2">
      <c r="A34" s="2"/>
      <c r="B34" s="2"/>
      <c r="C34" s="3"/>
      <c r="D34" s="4"/>
      <c r="E34" s="4"/>
      <c r="F34" s="4"/>
      <c r="G34" s="4"/>
      <c r="H34" s="4"/>
      <c r="I34" s="4"/>
      <c r="J34" s="4"/>
      <c r="K34" s="4"/>
      <c r="L34" s="4"/>
      <c r="M34" s="4"/>
      <c r="N34" s="4"/>
      <c r="O34" s="4"/>
      <c r="P34" s="4"/>
      <c r="Q34" s="4"/>
    </row>
    <row r="35" spans="1:17" x14ac:dyDescent="0.2">
      <c r="A35" s="2"/>
      <c r="B35" s="2"/>
      <c r="C35" s="3"/>
      <c r="D35" s="4"/>
      <c r="E35" s="4"/>
      <c r="F35" s="17" t="s">
        <v>1020</v>
      </c>
      <c r="G35" s="4"/>
      <c r="H35" s="4"/>
      <c r="I35" s="4"/>
      <c r="J35" s="4"/>
      <c r="K35" s="4"/>
      <c r="L35" s="4"/>
      <c r="M35" s="4"/>
      <c r="N35" s="4"/>
      <c r="O35" s="681" t="s">
        <v>177</v>
      </c>
      <c r="P35" s="681"/>
      <c r="Q35" s="4"/>
    </row>
    <row r="36" spans="1:17" x14ac:dyDescent="0.2">
      <c r="A36" s="2"/>
      <c r="B36" s="2"/>
      <c r="C36" s="3"/>
      <c r="D36" s="4"/>
      <c r="E36" s="4"/>
      <c r="F36" s="17" t="s">
        <v>1019</v>
      </c>
      <c r="G36" s="4"/>
      <c r="H36" s="4"/>
      <c r="I36" s="4"/>
      <c r="J36" s="4"/>
      <c r="K36" s="4"/>
      <c r="L36" s="4"/>
      <c r="M36" s="4"/>
      <c r="N36" s="4"/>
      <c r="O36" s="679" t="s">
        <v>156</v>
      </c>
      <c r="P36" s="680"/>
      <c r="Q36" s="4"/>
    </row>
    <row r="37" spans="1:17" x14ac:dyDescent="0.2">
      <c r="A37" s="2"/>
      <c r="B37" s="2"/>
      <c r="C37" s="3"/>
      <c r="D37" s="4"/>
      <c r="E37" s="4"/>
      <c r="F37" s="4"/>
      <c r="G37" s="4"/>
      <c r="H37" s="4"/>
      <c r="I37" s="4"/>
      <c r="J37" s="4"/>
      <c r="K37" s="4"/>
      <c r="L37" s="4"/>
      <c r="M37" s="4"/>
      <c r="N37" s="4"/>
      <c r="O37" s="4"/>
      <c r="P37" s="4"/>
      <c r="Q37" s="4"/>
    </row>
    <row r="38" spans="1:17" ht="15" x14ac:dyDescent="0.2">
      <c r="A38" s="2"/>
      <c r="B38" s="2"/>
      <c r="C38" s="3"/>
      <c r="D38" s="4"/>
      <c r="E38" s="4"/>
      <c r="F38" s="676" t="s">
        <v>36</v>
      </c>
      <c r="G38" s="676"/>
      <c r="H38" s="676"/>
      <c r="I38" s="676"/>
      <c r="J38" s="676"/>
      <c r="K38" s="676"/>
      <c r="L38" s="676"/>
      <c r="M38" s="676"/>
      <c r="N38" s="676"/>
      <c r="O38" s="676"/>
      <c r="P38" s="676"/>
      <c r="Q38" s="4"/>
    </row>
    <row r="39" spans="1:17" ht="9.9499999999999993" customHeight="1" x14ac:dyDescent="0.2">
      <c r="A39" s="2"/>
      <c r="B39" s="2"/>
      <c r="C39" s="3"/>
      <c r="D39" s="4"/>
      <c r="E39" s="4"/>
      <c r="F39" s="4"/>
      <c r="G39" s="4"/>
      <c r="H39" s="4"/>
      <c r="I39" s="4"/>
      <c r="J39" s="4"/>
      <c r="K39" s="4"/>
      <c r="L39" s="4"/>
      <c r="M39" s="4"/>
      <c r="N39" s="4"/>
      <c r="O39" s="4"/>
      <c r="P39" s="4"/>
      <c r="Q39" s="4"/>
    </row>
    <row r="40" spans="1:17" x14ac:dyDescent="0.2">
      <c r="A40" s="2"/>
      <c r="B40" s="2"/>
      <c r="C40" s="3"/>
      <c r="D40" s="4"/>
      <c r="E40" s="4"/>
      <c r="F40" s="17" t="s">
        <v>178</v>
      </c>
      <c r="G40" s="4"/>
      <c r="H40" s="4"/>
      <c r="I40" s="4"/>
      <c r="J40" s="4"/>
      <c r="K40" s="4"/>
      <c r="L40" s="4"/>
      <c r="M40" s="4"/>
      <c r="N40" s="4"/>
      <c r="O40" s="506">
        <f>+Datos_agua!B45</f>
        <v>10950</v>
      </c>
      <c r="P40" s="324" t="s">
        <v>111</v>
      </c>
      <c r="Q40" s="4"/>
    </row>
    <row r="41" spans="1:17" x14ac:dyDescent="0.2">
      <c r="A41" s="2"/>
      <c r="B41" s="2"/>
      <c r="C41" s="3"/>
      <c r="D41" s="4"/>
      <c r="E41" s="4"/>
      <c r="F41" s="4"/>
      <c r="G41" s="4"/>
      <c r="H41" s="4"/>
      <c r="I41" s="4"/>
      <c r="J41" s="4"/>
      <c r="K41" s="4"/>
      <c r="L41" s="4"/>
      <c r="M41" s="4"/>
      <c r="N41" s="4"/>
      <c r="O41" s="4"/>
      <c r="P41" s="4"/>
      <c r="Q41" s="4"/>
    </row>
    <row r="42" spans="1:17" x14ac:dyDescent="0.2">
      <c r="A42" s="2"/>
      <c r="B42" s="2"/>
      <c r="C42" s="3"/>
      <c r="D42" s="4"/>
      <c r="E42" s="4"/>
      <c r="F42" s="4"/>
      <c r="G42" s="4"/>
      <c r="H42" s="4"/>
      <c r="I42" s="4"/>
      <c r="J42" s="4"/>
      <c r="K42" s="4"/>
      <c r="L42" s="4"/>
      <c r="M42" s="4"/>
      <c r="N42" s="4"/>
      <c r="O42" s="4"/>
      <c r="P42" s="4"/>
      <c r="Q42" s="4"/>
    </row>
    <row r="43" spans="1:17" ht="20.100000000000001" customHeight="1" x14ac:dyDescent="0.2">
      <c r="A43" s="2"/>
      <c r="B43" s="2"/>
      <c r="C43" s="3"/>
      <c r="D43" s="4"/>
      <c r="E43" s="672" t="s">
        <v>179</v>
      </c>
      <c r="F43" s="673" t="s">
        <v>2</v>
      </c>
      <c r="G43" s="673"/>
      <c r="H43" s="673"/>
      <c r="I43" s="673"/>
      <c r="J43" s="674" t="s">
        <v>180</v>
      </c>
      <c r="K43" s="674"/>
      <c r="L43" s="674"/>
      <c r="M43" s="674"/>
      <c r="N43" s="674"/>
      <c r="O43" s="674"/>
      <c r="P43" s="674"/>
      <c r="Q43" s="4"/>
    </row>
    <row r="44" spans="1:17" ht="20.100000000000001" customHeight="1" x14ac:dyDescent="0.2">
      <c r="A44" s="2"/>
      <c r="B44" s="2"/>
      <c r="C44" s="3"/>
      <c r="D44" s="4"/>
      <c r="E44" s="672"/>
      <c r="F44" s="673" t="s">
        <v>3</v>
      </c>
      <c r="G44" s="673"/>
      <c r="H44" s="673"/>
      <c r="I44" s="673"/>
      <c r="J44" s="674" t="s">
        <v>129</v>
      </c>
      <c r="K44" s="674"/>
      <c r="L44" s="674"/>
      <c r="M44" s="674"/>
      <c r="N44" s="674"/>
      <c r="O44" s="674"/>
      <c r="P44" s="674"/>
      <c r="Q44" s="4"/>
    </row>
    <row r="45" spans="1:17" ht="69.95" customHeight="1" x14ac:dyDescent="0.2">
      <c r="A45" s="2"/>
      <c r="B45" s="2"/>
      <c r="C45" s="3"/>
      <c r="D45" s="4"/>
      <c r="E45" s="4"/>
      <c r="F45" s="673" t="s">
        <v>50</v>
      </c>
      <c r="G45" s="673"/>
      <c r="H45" s="673"/>
      <c r="I45" s="673"/>
      <c r="J45" s="678" t="s">
        <v>181</v>
      </c>
      <c r="K45" s="674"/>
      <c r="L45" s="674"/>
      <c r="M45" s="674"/>
      <c r="N45" s="674"/>
      <c r="O45" s="674"/>
      <c r="P45" s="674"/>
      <c r="Q45" s="4"/>
    </row>
    <row r="46" spans="1:17" x14ac:dyDescent="0.2">
      <c r="A46" s="2"/>
      <c r="B46" s="2"/>
      <c r="C46" s="3"/>
      <c r="D46" s="4"/>
      <c r="E46" s="4"/>
      <c r="F46" s="4"/>
      <c r="G46" s="4"/>
      <c r="H46" s="4"/>
      <c r="I46" s="4"/>
      <c r="J46" s="4"/>
      <c r="K46" s="4"/>
      <c r="L46" s="4"/>
      <c r="M46" s="4"/>
      <c r="N46" s="4"/>
      <c r="O46" s="4"/>
      <c r="P46" s="4"/>
      <c r="Q46" s="4"/>
    </row>
    <row r="47" spans="1:17" ht="15" x14ac:dyDescent="0.2">
      <c r="A47" s="2"/>
      <c r="B47" s="2"/>
      <c r="C47" s="3"/>
      <c r="D47" s="4"/>
      <c r="E47" s="4"/>
      <c r="F47" s="676" t="s">
        <v>20</v>
      </c>
      <c r="G47" s="676"/>
      <c r="H47" s="676"/>
      <c r="I47" s="676"/>
      <c r="J47" s="676"/>
      <c r="K47" s="676"/>
      <c r="L47" s="676"/>
      <c r="M47" s="676"/>
      <c r="N47" s="676"/>
      <c r="O47" s="676"/>
      <c r="P47" s="676"/>
      <c r="Q47" s="4"/>
    </row>
    <row r="48" spans="1:17" ht="9.9499999999999993" customHeight="1" x14ac:dyDescent="0.2">
      <c r="A48" s="2"/>
      <c r="B48" s="2"/>
      <c r="C48" s="3"/>
      <c r="D48" s="4"/>
      <c r="E48" s="4"/>
      <c r="F48" s="4"/>
      <c r="G48" s="4"/>
      <c r="H48" s="4"/>
      <c r="I48" s="4"/>
      <c r="J48" s="4"/>
      <c r="K48" s="4"/>
      <c r="L48" s="4"/>
      <c r="M48" s="4"/>
      <c r="N48" s="4"/>
      <c r="O48" s="4"/>
      <c r="P48" s="4"/>
      <c r="Q48" s="4"/>
    </row>
    <row r="49" spans="1:17" x14ac:dyDescent="0.2">
      <c r="A49" s="2"/>
      <c r="B49" s="2"/>
      <c r="C49" s="3"/>
      <c r="D49" s="4"/>
      <c r="E49" s="4"/>
      <c r="F49" s="17" t="s">
        <v>1021</v>
      </c>
      <c r="G49" s="4"/>
      <c r="H49" s="4"/>
      <c r="I49" s="4"/>
      <c r="J49" s="4"/>
      <c r="K49" s="4"/>
      <c r="L49" s="4"/>
      <c r="M49" s="4"/>
      <c r="N49" s="4"/>
      <c r="O49" s="536">
        <v>500</v>
      </c>
      <c r="P49" s="324" t="s">
        <v>168</v>
      </c>
      <c r="Q49" s="4"/>
    </row>
    <row r="50" spans="1:17" x14ac:dyDescent="0.2">
      <c r="A50" s="2"/>
      <c r="B50" s="2"/>
      <c r="C50" s="3"/>
      <c r="D50" s="4"/>
      <c r="E50" s="4"/>
      <c r="F50" s="17" t="s">
        <v>1026</v>
      </c>
      <c r="G50" s="4"/>
      <c r="H50" s="4"/>
      <c r="I50" s="4"/>
      <c r="J50" s="4"/>
      <c r="K50" s="4"/>
      <c r="L50" s="4"/>
      <c r="M50" s="4"/>
      <c r="N50" s="4"/>
      <c r="O50" s="536">
        <v>25</v>
      </c>
      <c r="P50" s="324" t="s">
        <v>145</v>
      </c>
      <c r="Q50" s="4"/>
    </row>
    <row r="51" spans="1:17" x14ac:dyDescent="0.2">
      <c r="A51" s="2"/>
      <c r="B51" s="2"/>
      <c r="C51" s="3"/>
      <c r="D51" s="4"/>
      <c r="E51" s="4"/>
      <c r="F51" s="17" t="s">
        <v>1027</v>
      </c>
      <c r="G51" s="4"/>
      <c r="H51" s="4"/>
      <c r="I51" s="4"/>
      <c r="J51" s="4"/>
      <c r="K51" s="4"/>
      <c r="L51" s="4"/>
      <c r="M51" s="4"/>
      <c r="N51" s="4"/>
      <c r="O51" s="536">
        <v>4</v>
      </c>
      <c r="P51" s="324" t="s">
        <v>147</v>
      </c>
      <c r="Q51" s="4"/>
    </row>
    <row r="52" spans="1:17" x14ac:dyDescent="0.2">
      <c r="A52" s="2"/>
      <c r="B52" s="2"/>
      <c r="C52" s="3"/>
      <c r="D52" s="4"/>
      <c r="E52" s="4"/>
      <c r="F52" s="4"/>
      <c r="G52" s="4"/>
      <c r="H52" s="4"/>
      <c r="I52" s="4"/>
      <c r="J52" s="4"/>
      <c r="K52" s="4"/>
      <c r="L52" s="4"/>
      <c r="M52" s="4"/>
      <c r="N52" s="4"/>
      <c r="O52" s="4"/>
      <c r="P52" s="4"/>
      <c r="Q52" s="4"/>
    </row>
    <row r="53" spans="1:17" ht="15" x14ac:dyDescent="0.2">
      <c r="A53" s="2"/>
      <c r="B53" s="2"/>
      <c r="C53" s="3"/>
      <c r="D53" s="4"/>
      <c r="E53" s="4"/>
      <c r="F53" s="676" t="s">
        <v>36</v>
      </c>
      <c r="G53" s="676"/>
      <c r="H53" s="676"/>
      <c r="I53" s="676"/>
      <c r="J53" s="676"/>
      <c r="K53" s="676"/>
      <c r="L53" s="676"/>
      <c r="M53" s="676"/>
      <c r="N53" s="676"/>
      <c r="O53" s="676"/>
      <c r="P53" s="676"/>
      <c r="Q53" s="4"/>
    </row>
    <row r="54" spans="1:17" ht="9.9499999999999993" customHeight="1" x14ac:dyDescent="0.2">
      <c r="A54" s="2"/>
      <c r="B54" s="2"/>
      <c r="C54" s="3"/>
      <c r="D54" s="4"/>
      <c r="E54" s="4"/>
      <c r="F54" s="4"/>
      <c r="G54" s="4"/>
      <c r="H54" s="4"/>
      <c r="I54" s="4"/>
      <c r="J54" s="4"/>
      <c r="K54" s="4"/>
      <c r="L54" s="4"/>
      <c r="M54" s="4"/>
      <c r="N54" s="4"/>
      <c r="O54" s="4"/>
      <c r="P54" s="4"/>
      <c r="Q54" s="4"/>
    </row>
    <row r="55" spans="1:17" x14ac:dyDescent="0.2">
      <c r="A55" s="2"/>
      <c r="B55" s="2"/>
      <c r="C55" s="3"/>
      <c r="D55" s="4"/>
      <c r="E55" s="4"/>
      <c r="F55" s="17" t="s">
        <v>172</v>
      </c>
      <c r="G55" s="4"/>
      <c r="H55" s="4"/>
      <c r="I55" s="4"/>
      <c r="J55" s="4"/>
      <c r="K55" s="4"/>
      <c r="L55" s="4"/>
      <c r="M55" s="4"/>
      <c r="N55" s="4"/>
      <c r="O55" s="487">
        <f>Datos_agua!B69</f>
        <v>2.333333333333333</v>
      </c>
      <c r="P55" s="324" t="s">
        <v>111</v>
      </c>
      <c r="Q55" s="4"/>
    </row>
    <row r="56" spans="1:17" x14ac:dyDescent="0.2">
      <c r="A56" s="2"/>
      <c r="B56" s="2"/>
      <c r="C56" s="3"/>
      <c r="D56" s="4"/>
      <c r="E56" s="4"/>
      <c r="F56" s="4"/>
      <c r="G56" s="4"/>
      <c r="H56" s="4"/>
      <c r="I56" s="4"/>
      <c r="J56" s="4"/>
      <c r="K56" s="4"/>
      <c r="L56" s="4"/>
      <c r="M56" s="4"/>
      <c r="N56" s="4"/>
      <c r="O56" s="4"/>
      <c r="P56" s="324"/>
      <c r="Q56" s="4"/>
    </row>
    <row r="57" spans="1:17" x14ac:dyDescent="0.2">
      <c r="A57" s="2"/>
      <c r="B57" s="2"/>
      <c r="C57" s="3"/>
      <c r="D57" s="4"/>
      <c r="E57" s="4"/>
      <c r="F57" s="4"/>
      <c r="G57" s="4"/>
      <c r="H57" s="4"/>
      <c r="I57" s="4"/>
      <c r="J57" s="4"/>
      <c r="K57" s="4"/>
      <c r="L57" s="4"/>
      <c r="M57" s="4"/>
      <c r="N57" s="4"/>
      <c r="O57" s="4"/>
      <c r="P57" s="324"/>
      <c r="Q57" s="4"/>
    </row>
    <row r="58" spans="1:17" ht="30" customHeight="1" x14ac:dyDescent="0.2">
      <c r="A58" s="2"/>
      <c r="B58" s="2"/>
      <c r="C58" s="3"/>
      <c r="D58" s="4"/>
      <c r="E58" s="38" t="s">
        <v>182</v>
      </c>
      <c r="F58" s="673" t="s">
        <v>2</v>
      </c>
      <c r="G58" s="673"/>
      <c r="H58" s="673"/>
      <c r="I58" s="673"/>
      <c r="J58" s="678" t="s">
        <v>183</v>
      </c>
      <c r="K58" s="674"/>
      <c r="L58" s="674"/>
      <c r="M58" s="674"/>
      <c r="N58" s="674"/>
      <c r="O58" s="674"/>
      <c r="P58" s="674"/>
      <c r="Q58" s="4"/>
    </row>
    <row r="59" spans="1:17" ht="20.100000000000001" customHeight="1" x14ac:dyDescent="0.2">
      <c r="A59" s="2"/>
      <c r="B59" s="2"/>
      <c r="C59" s="3"/>
      <c r="D59" s="4"/>
      <c r="E59" s="4"/>
      <c r="F59" s="673" t="s">
        <v>3</v>
      </c>
      <c r="G59" s="673"/>
      <c r="H59" s="673"/>
      <c r="I59" s="673"/>
      <c r="J59" s="678" t="s">
        <v>129</v>
      </c>
      <c r="K59" s="674"/>
      <c r="L59" s="674"/>
      <c r="M59" s="674"/>
      <c r="N59" s="674"/>
      <c r="O59" s="674"/>
      <c r="P59" s="674"/>
      <c r="Q59" s="4"/>
    </row>
    <row r="60" spans="1:17" ht="90" customHeight="1" x14ac:dyDescent="0.2">
      <c r="A60" s="2"/>
      <c r="B60" s="2"/>
      <c r="C60" s="3"/>
      <c r="D60" s="4"/>
      <c r="E60" s="4"/>
      <c r="F60" s="673" t="s">
        <v>50</v>
      </c>
      <c r="G60" s="673"/>
      <c r="H60" s="673"/>
      <c r="I60" s="673"/>
      <c r="J60" s="678" t="s">
        <v>184</v>
      </c>
      <c r="K60" s="674"/>
      <c r="L60" s="674"/>
      <c r="M60" s="674"/>
      <c r="N60" s="674"/>
      <c r="O60" s="674"/>
      <c r="P60" s="674"/>
      <c r="Q60" s="4"/>
    </row>
    <row r="61" spans="1:17" x14ac:dyDescent="0.2">
      <c r="A61" s="2"/>
      <c r="B61" s="2"/>
      <c r="C61" s="3"/>
      <c r="D61" s="4"/>
      <c r="E61" s="4"/>
      <c r="F61" s="4"/>
      <c r="G61" s="4"/>
      <c r="H61" s="4"/>
      <c r="I61" s="4"/>
      <c r="J61" s="4"/>
      <c r="K61" s="4"/>
      <c r="L61" s="4"/>
      <c r="M61" s="4"/>
      <c r="N61" s="4"/>
      <c r="O61" s="4"/>
      <c r="P61" s="4"/>
      <c r="Q61" s="4"/>
    </row>
    <row r="62" spans="1:17" ht="15" x14ac:dyDescent="0.2">
      <c r="A62" s="2"/>
      <c r="B62" s="2"/>
      <c r="C62" s="3"/>
      <c r="D62" s="4"/>
      <c r="E62" s="4"/>
      <c r="F62" s="676" t="s">
        <v>20</v>
      </c>
      <c r="G62" s="676"/>
      <c r="H62" s="676"/>
      <c r="I62" s="676"/>
      <c r="J62" s="676"/>
      <c r="K62" s="676"/>
      <c r="L62" s="676"/>
      <c r="M62" s="676"/>
      <c r="N62" s="676"/>
      <c r="O62" s="676"/>
      <c r="P62" s="676"/>
      <c r="Q62" s="4"/>
    </row>
    <row r="63" spans="1:17" ht="9.9499999999999993" customHeight="1" x14ac:dyDescent="0.2">
      <c r="A63" s="2"/>
      <c r="B63" s="2"/>
      <c r="C63" s="3"/>
      <c r="D63" s="4"/>
      <c r="E63" s="4"/>
      <c r="F63" s="4"/>
      <c r="G63" s="4"/>
      <c r="H63" s="4"/>
      <c r="I63" s="4"/>
      <c r="J63" s="4"/>
      <c r="K63" s="4"/>
      <c r="L63" s="4"/>
      <c r="M63" s="4"/>
      <c r="N63" s="4"/>
      <c r="O63" s="4"/>
      <c r="P63" s="4"/>
      <c r="Q63" s="4"/>
    </row>
    <row r="64" spans="1:17" x14ac:dyDescent="0.2">
      <c r="A64" s="2"/>
      <c r="B64" s="2"/>
      <c r="C64" s="3"/>
      <c r="D64" s="4"/>
      <c r="E64" s="4"/>
      <c r="F64" s="17" t="s">
        <v>1020</v>
      </c>
      <c r="G64" s="4"/>
      <c r="H64" s="4"/>
      <c r="I64" s="4"/>
      <c r="J64" s="4"/>
      <c r="K64" s="4"/>
      <c r="L64" s="4"/>
      <c r="M64" s="4"/>
      <c r="N64" s="4"/>
      <c r="O64" s="677" t="s">
        <v>176</v>
      </c>
      <c r="P64" s="677"/>
      <c r="Q64" s="4"/>
    </row>
    <row r="65" spans="1:17" x14ac:dyDescent="0.2">
      <c r="A65" s="2"/>
      <c r="B65" s="2"/>
      <c r="C65" s="3"/>
      <c r="D65" s="4"/>
      <c r="E65" s="4"/>
      <c r="F65" s="17" t="s">
        <v>1019</v>
      </c>
      <c r="G65" s="4"/>
      <c r="H65" s="4"/>
      <c r="I65" s="4"/>
      <c r="J65" s="4"/>
      <c r="K65" s="4"/>
      <c r="L65" s="4"/>
      <c r="M65" s="4"/>
      <c r="N65" s="4"/>
      <c r="O65" s="679" t="s">
        <v>156</v>
      </c>
      <c r="P65" s="680"/>
      <c r="Q65" s="4"/>
    </row>
    <row r="66" spans="1:17" x14ac:dyDescent="0.2">
      <c r="A66" s="2"/>
      <c r="B66" s="2"/>
      <c r="C66" s="3"/>
      <c r="D66" s="4"/>
      <c r="E66" s="4"/>
      <c r="F66" s="4"/>
      <c r="G66" s="4"/>
      <c r="H66" s="4"/>
      <c r="I66" s="4"/>
      <c r="J66" s="4"/>
      <c r="K66" s="4"/>
      <c r="L66" s="4"/>
      <c r="M66" s="4"/>
      <c r="N66" s="4"/>
      <c r="O66" s="4"/>
      <c r="P66" s="4"/>
      <c r="Q66" s="4"/>
    </row>
    <row r="67" spans="1:17" ht="15" x14ac:dyDescent="0.2">
      <c r="A67" s="2"/>
      <c r="B67" s="2"/>
      <c r="C67" s="3"/>
      <c r="D67" s="4"/>
      <c r="E67" s="4"/>
      <c r="F67" s="676" t="s">
        <v>36</v>
      </c>
      <c r="G67" s="676"/>
      <c r="H67" s="676"/>
      <c r="I67" s="676"/>
      <c r="J67" s="676"/>
      <c r="K67" s="676"/>
      <c r="L67" s="676"/>
      <c r="M67" s="676"/>
      <c r="N67" s="676"/>
      <c r="O67" s="676"/>
      <c r="P67" s="676"/>
      <c r="Q67" s="4"/>
    </row>
    <row r="68" spans="1:17" ht="9.9499999999999993" customHeight="1" x14ac:dyDescent="0.2">
      <c r="A68" s="2"/>
      <c r="B68" s="2"/>
      <c r="C68" s="3"/>
      <c r="D68" s="4"/>
      <c r="E68" s="4"/>
      <c r="F68" s="4"/>
      <c r="G68" s="4"/>
      <c r="H68" s="4"/>
      <c r="I68" s="4"/>
      <c r="J68" s="4"/>
      <c r="K68" s="4"/>
      <c r="L68" s="4"/>
      <c r="M68" s="4"/>
      <c r="N68" s="4"/>
      <c r="O68" s="4"/>
      <c r="P68" s="4"/>
      <c r="Q68" s="4"/>
    </row>
    <row r="69" spans="1:17" x14ac:dyDescent="0.2">
      <c r="A69" s="2"/>
      <c r="B69" s="2"/>
      <c r="C69" s="3"/>
      <c r="D69" s="4"/>
      <c r="E69" s="4"/>
      <c r="F69" s="17" t="s">
        <v>178</v>
      </c>
      <c r="G69" s="4"/>
      <c r="H69" s="4"/>
      <c r="I69" s="4"/>
      <c r="J69" s="4"/>
      <c r="K69" s="4"/>
      <c r="L69" s="4"/>
      <c r="M69" s="4"/>
      <c r="N69" s="4"/>
      <c r="O69" s="487">
        <f>Datos_agua!B91</f>
        <v>10950</v>
      </c>
      <c r="P69" s="324" t="s">
        <v>111</v>
      </c>
      <c r="Q69" s="4"/>
    </row>
    <row r="70" spans="1:17" x14ac:dyDescent="0.2">
      <c r="A70" s="2"/>
      <c r="B70" s="2"/>
      <c r="C70" s="3"/>
      <c r="D70" s="4"/>
      <c r="E70" s="4"/>
      <c r="F70" s="4"/>
      <c r="G70" s="4"/>
      <c r="H70" s="4"/>
      <c r="I70" s="4"/>
      <c r="J70" s="4"/>
      <c r="K70" s="4"/>
      <c r="L70" s="4"/>
      <c r="M70" s="4"/>
      <c r="N70" s="4"/>
      <c r="O70" s="4"/>
      <c r="P70" s="4"/>
      <c r="Q70" s="4"/>
    </row>
    <row r="71" spans="1:17" x14ac:dyDescent="0.2">
      <c r="A71" s="2"/>
      <c r="B71" s="2"/>
      <c r="C71" s="3"/>
      <c r="D71" s="4"/>
      <c r="E71" s="4"/>
      <c r="F71" s="4"/>
      <c r="G71" s="4"/>
      <c r="H71" s="4"/>
      <c r="I71" s="4"/>
      <c r="J71" s="4"/>
      <c r="K71" s="4"/>
      <c r="L71" s="4"/>
      <c r="M71" s="4"/>
      <c r="N71" s="4"/>
      <c r="O71" s="4"/>
      <c r="P71" s="4"/>
      <c r="Q71" s="4"/>
    </row>
  </sheetData>
  <sheetProtection algorithmName="SHA-512" hashValue="1o+QBC7/pguDNa9rs4O1uDB/VtcpyXH6V9KhLG4E5Cv6wjsSqtijugYbRqkv4hwRgvQil4gbV8KS4prqtFmFvQ==" saltValue="+gW9QnAm9LTc67UtbBsR9w==" spinCount="100000" sheet="1" objects="1" scenarios="1"/>
  <mergeCells count="42">
    <mergeCell ref="F67:P67"/>
    <mergeCell ref="E43:E44"/>
    <mergeCell ref="F47:P47"/>
    <mergeCell ref="F53:P53"/>
    <mergeCell ref="F62:P62"/>
    <mergeCell ref="O64:P64"/>
    <mergeCell ref="O65:P65"/>
    <mergeCell ref="F58:I58"/>
    <mergeCell ref="J58:P58"/>
    <mergeCell ref="F59:I59"/>
    <mergeCell ref="J59:P59"/>
    <mergeCell ref="F60:I60"/>
    <mergeCell ref="J60:P60"/>
    <mergeCell ref="F44:I44"/>
    <mergeCell ref="J44:P44"/>
    <mergeCell ref="F45:I45"/>
    <mergeCell ref="J45:P45"/>
    <mergeCell ref="F31:I31"/>
    <mergeCell ref="J31:P31"/>
    <mergeCell ref="F43:I43"/>
    <mergeCell ref="J43:P43"/>
    <mergeCell ref="O36:P36"/>
    <mergeCell ref="F33:P33"/>
    <mergeCell ref="F38:P38"/>
    <mergeCell ref="O35:P35"/>
    <mergeCell ref="F14:I14"/>
    <mergeCell ref="J14:P14"/>
    <mergeCell ref="E29:E30"/>
    <mergeCell ref="F29:I29"/>
    <mergeCell ref="J29:P29"/>
    <mergeCell ref="F30:I30"/>
    <mergeCell ref="J30:P30"/>
    <mergeCell ref="F16:P16"/>
    <mergeCell ref="F24:P24"/>
    <mergeCell ref="O19:P19"/>
    <mergeCell ref="O18:P18"/>
    <mergeCell ref="C3:L3"/>
    <mergeCell ref="E12:E13"/>
    <mergeCell ref="F12:I12"/>
    <mergeCell ref="J12:P12"/>
    <mergeCell ref="F13:I13"/>
    <mergeCell ref="J13:P13"/>
  </mergeCells>
  <hyperlinks>
    <hyperlink ref="G6" location="AGUA!E30" display="B. PTAR" xr:uid="{0D6D1EAB-DB4D-42D8-BED8-9C30110C7F04}"/>
    <hyperlink ref="G7" location="AGUA!E44" display="C. Reservorios o albarradas" xr:uid="{3E018782-419D-454F-97AE-A9A5C1F23953}"/>
    <hyperlink ref="G8" location="AGUA!E58" display="D. Recuperación de agua" xr:uid="{16FD8FE2-14F9-4468-8C3F-8539123DA8C4}"/>
    <hyperlink ref="G5" location="AGUA!E12" display="A. Agua lluvia" xr:uid="{DEDEE3B5-EEF4-4CBC-9A88-D5FDDD3C84B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80502FEC-EFCE-4261-8F5F-495891346A17}">
          <x14:formula1>
            <xm:f>Datos_agua!$E$3:$E$6</xm:f>
          </x14:formula1>
          <xm:sqref>O18</xm:sqref>
        </x14:dataValidation>
        <x14:dataValidation type="list" allowBlank="1" showInputMessage="1" showErrorMessage="1" xr:uid="{27BA0C22-E4B5-48D3-A9F1-6CC1AA9BB2E2}">
          <x14:formula1>
            <xm:f>Datos_agua!$F$3:$F$4</xm:f>
          </x14:formula1>
          <xm:sqref>P20</xm:sqref>
        </x14:dataValidation>
        <x14:dataValidation type="list" allowBlank="1" showInputMessage="1" showErrorMessage="1" xr:uid="{037B11ED-2551-46C6-8584-88ECA654A725}">
          <x14:formula1>
            <xm:f>Datos_agua!$E$28:$E$29</xm:f>
          </x14:formula1>
          <xm:sqref>O35</xm:sqref>
        </x14:dataValidation>
        <x14:dataValidation type="list" allowBlank="1" showInputMessage="1" showErrorMessage="1" xr:uid="{04353C54-89EE-4792-A5D4-F244B3157994}">
          <x14:formula1>
            <xm:f>Datos_agua!$F$28:$F$30</xm:f>
          </x14:formula1>
          <xm:sqref>O36</xm:sqref>
        </x14:dataValidation>
        <x14:dataValidation type="list" allowBlank="1" showInputMessage="1" showErrorMessage="1" xr:uid="{D0958AB1-3456-44C4-97F3-C8B06D1CD6D2}">
          <x14:formula1>
            <xm:f>Datos_agua!$F$50:$F$51</xm:f>
          </x14:formula1>
          <xm:sqref>P49</xm:sqref>
        </x14:dataValidation>
        <x14:dataValidation type="list" allowBlank="1" showInputMessage="1" showErrorMessage="1" xr:uid="{A0D7762C-05B0-476D-B334-9B50E91DD140}">
          <x14:formula1>
            <xm:f>Datos_agua!$E$74:$E$75</xm:f>
          </x14:formula1>
          <xm:sqref>O64:P64</xm:sqref>
        </x14:dataValidation>
        <x14:dataValidation type="list" allowBlank="1" showInputMessage="1" showErrorMessage="1" xr:uid="{74AD0A21-B33D-4494-9C4F-97442FD3794C}">
          <x14:formula1>
            <xm:f>Datos_agua!$F$74:$F$76</xm:f>
          </x14:formula1>
          <xm:sqref>O65:P65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DB1CD-DED5-47A7-A85A-506ECB81EE2A}">
  <dimension ref="A1:I93"/>
  <sheetViews>
    <sheetView showGridLines="0" topLeftCell="A57" zoomScale="93" zoomScaleNormal="93" workbookViewId="0">
      <selection activeCell="B69" sqref="B69"/>
    </sheetView>
  </sheetViews>
  <sheetFormatPr baseColWidth="10" defaultColWidth="0" defaultRowHeight="14.25" zeroHeight="1" x14ac:dyDescent="0.2"/>
  <cols>
    <col min="1" max="1" width="40.5" style="24" customWidth="1"/>
    <col min="2" max="2" width="25.625" style="24" customWidth="1"/>
    <col min="3" max="4" width="11" style="24" customWidth="1"/>
    <col min="5" max="6" width="18.75" style="24" customWidth="1"/>
    <col min="7" max="9" width="11" style="24" customWidth="1"/>
    <col min="10" max="16384" width="11" style="24" hidden="1"/>
  </cols>
  <sheetData>
    <row r="1" spans="1:9" ht="18.75" customHeight="1" x14ac:dyDescent="0.2">
      <c r="A1" s="588" t="s">
        <v>130</v>
      </c>
      <c r="B1" s="589"/>
      <c r="C1" s="589"/>
      <c r="D1" s="589"/>
      <c r="E1" s="589"/>
      <c r="F1" s="589"/>
      <c r="G1" s="589"/>
      <c r="H1" s="589"/>
      <c r="I1" s="589"/>
    </row>
    <row r="2" spans="1:9" x14ac:dyDescent="0.2">
      <c r="A2" s="39" t="s">
        <v>70</v>
      </c>
    </row>
    <row r="3" spans="1:9" ht="16.5" customHeight="1" x14ac:dyDescent="0.2">
      <c r="A3" s="686" t="s">
        <v>131</v>
      </c>
      <c r="B3" s="687"/>
      <c r="C3" s="688"/>
      <c r="E3" s="55" t="s">
        <v>167</v>
      </c>
      <c r="F3" s="56" t="s">
        <v>168</v>
      </c>
    </row>
    <row r="4" spans="1:9" x14ac:dyDescent="0.2">
      <c r="E4" s="55" t="s">
        <v>169</v>
      </c>
      <c r="F4" s="56" t="s">
        <v>149</v>
      </c>
    </row>
    <row r="5" spans="1:9" x14ac:dyDescent="0.2">
      <c r="A5" s="39" t="s">
        <v>72</v>
      </c>
      <c r="E5" s="55" t="s">
        <v>955</v>
      </c>
      <c r="F5" s="56"/>
    </row>
    <row r="6" spans="1:9" ht="15" customHeight="1" x14ac:dyDescent="0.2">
      <c r="A6" s="689" t="s">
        <v>132</v>
      </c>
      <c r="B6" s="690"/>
      <c r="C6" s="691"/>
      <c r="D6" s="27"/>
      <c r="E6" s="55" t="s">
        <v>171</v>
      </c>
      <c r="F6" s="56"/>
    </row>
    <row r="7" spans="1:9" x14ac:dyDescent="0.2">
      <c r="A7" s="26"/>
      <c r="B7" s="26"/>
      <c r="C7" s="26"/>
      <c r="D7" s="26"/>
      <c r="E7" s="27"/>
    </row>
    <row r="8" spans="1:9" x14ac:dyDescent="0.2">
      <c r="A8" s="590" t="s">
        <v>74</v>
      </c>
      <c r="B8" s="590"/>
      <c r="C8" s="590"/>
      <c r="E8" s="27"/>
    </row>
    <row r="9" spans="1:9" ht="15" customHeight="1" x14ac:dyDescent="0.2">
      <c r="A9" s="29" t="s">
        <v>133</v>
      </c>
      <c r="B9" s="692" t="s">
        <v>134</v>
      </c>
      <c r="C9" s="692"/>
      <c r="E9" s="27"/>
    </row>
    <row r="10" spans="1:9" ht="39.75" customHeight="1" x14ac:dyDescent="0.2">
      <c r="A10" s="29" t="s">
        <v>135</v>
      </c>
      <c r="B10" s="693" t="s">
        <v>136</v>
      </c>
      <c r="C10" s="693"/>
      <c r="E10" s="27"/>
    </row>
    <row r="11" spans="1:9" ht="39.75" customHeight="1" x14ac:dyDescent="0.2">
      <c r="A11" s="29" t="s">
        <v>137</v>
      </c>
      <c r="B11" s="694" t="s">
        <v>138</v>
      </c>
      <c r="C11" s="693"/>
      <c r="E11" s="27"/>
    </row>
    <row r="12" spans="1:9" x14ac:dyDescent="0.2">
      <c r="A12" s="26"/>
      <c r="B12" s="26"/>
      <c r="C12" s="26"/>
      <c r="E12" s="27"/>
    </row>
    <row r="13" spans="1:9" x14ac:dyDescent="0.2">
      <c r="A13" s="42" t="s">
        <v>139</v>
      </c>
      <c r="B13" s="40" t="s">
        <v>108</v>
      </c>
      <c r="C13" s="40" t="s">
        <v>140</v>
      </c>
    </row>
    <row r="14" spans="1:9" ht="28.5" x14ac:dyDescent="0.2">
      <c r="A14" s="43" t="s">
        <v>141</v>
      </c>
      <c r="B14" s="223" t="str">
        <f>AGUA!O18</f>
        <v>Producción agrícola</v>
      </c>
      <c r="C14" s="33"/>
    </row>
    <row r="15" spans="1:9" ht="28.5" customHeight="1" x14ac:dyDescent="0.2">
      <c r="A15" s="43" t="s">
        <v>142</v>
      </c>
      <c r="B15" s="223">
        <f>AGUA!O19</f>
        <v>0</v>
      </c>
      <c r="C15" s="33"/>
    </row>
    <row r="16" spans="1:9" ht="28.5" x14ac:dyDescent="0.2">
      <c r="A16" s="43" t="s">
        <v>143</v>
      </c>
      <c r="B16" s="44">
        <f>AGUA!O20</f>
        <v>200</v>
      </c>
      <c r="C16" s="44" t="str">
        <f>+'[3]4.1 Rec_agua_lluvia'!C10</f>
        <v>Litros</v>
      </c>
    </row>
    <row r="17" spans="1:9" ht="28.5" x14ac:dyDescent="0.2">
      <c r="A17" s="43" t="s">
        <v>144</v>
      </c>
      <c r="B17" s="223">
        <f>AGUA!O21</f>
        <v>7</v>
      </c>
      <c r="C17" s="44" t="s">
        <v>145</v>
      </c>
    </row>
    <row r="18" spans="1:9" ht="28.5" x14ac:dyDescent="0.2">
      <c r="A18" s="43" t="s">
        <v>146</v>
      </c>
      <c r="B18" s="223">
        <f>AGUA!O22</f>
        <v>8</v>
      </c>
      <c r="C18" s="44" t="s">
        <v>147</v>
      </c>
    </row>
    <row r="19" spans="1:9" x14ac:dyDescent="0.2"/>
    <row r="20" spans="1:9" x14ac:dyDescent="0.2">
      <c r="A20" s="45" t="s">
        <v>148</v>
      </c>
    </row>
    <row r="21" spans="1:9" x14ac:dyDescent="0.2">
      <c r="A21" s="31" t="s">
        <v>85</v>
      </c>
      <c r="B21" s="32" t="s">
        <v>3</v>
      </c>
      <c r="C21" s="32" t="s">
        <v>140</v>
      </c>
    </row>
    <row r="22" spans="1:9" x14ac:dyDescent="0.2">
      <c r="A22" s="33" t="s">
        <v>133</v>
      </c>
      <c r="B22" s="46">
        <f>INT(365/B17*B18/12)</f>
        <v>34</v>
      </c>
      <c r="C22" s="44" t="s">
        <v>111</v>
      </c>
    </row>
    <row r="23" spans="1:9" x14ac:dyDescent="0.2">
      <c r="A23" s="33" t="s">
        <v>135</v>
      </c>
      <c r="B23" s="33">
        <f>+IF(C16= "litros",(INT(B22)*B16/1000),INT(B22)*B16)</f>
        <v>6.8</v>
      </c>
      <c r="C23" s="44" t="s">
        <v>149</v>
      </c>
    </row>
    <row r="24" spans="1:9" x14ac:dyDescent="0.2">
      <c r="C24" s="30"/>
    </row>
    <row r="25" spans="1:9" x14ac:dyDescent="0.2"/>
    <row r="26" spans="1:9" ht="21" customHeight="1" x14ac:dyDescent="0.2">
      <c r="A26" s="588" t="s">
        <v>150</v>
      </c>
      <c r="B26" s="589"/>
      <c r="C26" s="589"/>
      <c r="D26" s="589"/>
      <c r="E26" s="589"/>
      <c r="F26" s="589"/>
      <c r="G26" s="589"/>
      <c r="H26" s="589"/>
      <c r="I26" s="589"/>
    </row>
    <row r="27" spans="1:9" x14ac:dyDescent="0.2">
      <c r="A27" s="45" t="s">
        <v>70</v>
      </c>
    </row>
    <row r="28" spans="1:9" ht="33.75" customHeight="1" x14ac:dyDescent="0.2">
      <c r="A28" s="695" t="s">
        <v>151</v>
      </c>
      <c r="B28" s="695"/>
      <c r="C28" s="695"/>
      <c r="E28" s="58" t="s">
        <v>176</v>
      </c>
      <c r="F28" s="58" t="s">
        <v>156</v>
      </c>
      <c r="G28" s="59" t="s">
        <v>168</v>
      </c>
    </row>
    <row r="29" spans="1:9" ht="28.5" x14ac:dyDescent="0.2">
      <c r="E29" s="58" t="s">
        <v>177</v>
      </c>
      <c r="F29" s="58" t="s">
        <v>157</v>
      </c>
      <c r="G29" s="59" t="s">
        <v>149</v>
      </c>
    </row>
    <row r="30" spans="1:9" ht="28.5" x14ac:dyDescent="0.2">
      <c r="A30" s="39" t="s">
        <v>72</v>
      </c>
      <c r="E30" s="60"/>
      <c r="F30" s="58" t="s">
        <v>158</v>
      </c>
      <c r="G30" s="59"/>
    </row>
    <row r="31" spans="1:9" ht="33.75" customHeight="1" x14ac:dyDescent="0.2">
      <c r="A31" s="689" t="s">
        <v>152</v>
      </c>
      <c r="B31" s="690"/>
      <c r="C31" s="691"/>
      <c r="D31" s="26"/>
      <c r="E31" s="27"/>
      <c r="F31" s="47"/>
    </row>
    <row r="32" spans="1:9" x14ac:dyDescent="0.2">
      <c r="A32" s="26"/>
      <c r="B32" s="26"/>
      <c r="C32" s="26"/>
      <c r="D32" s="26"/>
      <c r="E32" s="27"/>
      <c r="F32" s="47"/>
    </row>
    <row r="33" spans="1:9" x14ac:dyDescent="0.2">
      <c r="A33" s="599" t="s">
        <v>74</v>
      </c>
      <c r="B33" s="599"/>
      <c r="C33" s="599"/>
      <c r="E33" s="27"/>
      <c r="F33" s="47"/>
    </row>
    <row r="34" spans="1:9" ht="28.5" x14ac:dyDescent="0.2">
      <c r="A34" s="29" t="s">
        <v>153</v>
      </c>
      <c r="B34" s="41" t="s">
        <v>154</v>
      </c>
      <c r="C34" s="41"/>
      <c r="E34" s="27"/>
      <c r="F34" s="47"/>
    </row>
    <row r="35" spans="1:9" x14ac:dyDescent="0.2">
      <c r="A35" s="685" t="s">
        <v>155</v>
      </c>
      <c r="B35" s="48" t="s">
        <v>156</v>
      </c>
      <c r="C35" s="49">
        <v>30</v>
      </c>
      <c r="E35" s="27"/>
      <c r="F35" s="47"/>
    </row>
    <row r="36" spans="1:9" x14ac:dyDescent="0.2">
      <c r="A36" s="685"/>
      <c r="B36" s="48" t="s">
        <v>157</v>
      </c>
      <c r="C36" s="49">
        <v>275</v>
      </c>
      <c r="E36" s="27"/>
      <c r="F36" s="47"/>
    </row>
    <row r="37" spans="1:9" x14ac:dyDescent="0.2">
      <c r="A37" s="685"/>
      <c r="B37" s="48" t="s">
        <v>158</v>
      </c>
      <c r="C37" s="49">
        <v>500</v>
      </c>
      <c r="E37" s="27"/>
      <c r="F37" s="47"/>
    </row>
    <row r="38" spans="1:9" x14ac:dyDescent="0.2">
      <c r="A38" s="50"/>
      <c r="B38" s="50"/>
      <c r="C38" s="50"/>
    </row>
    <row r="39" spans="1:9" x14ac:dyDescent="0.2"/>
    <row r="40" spans="1:9" x14ac:dyDescent="0.2">
      <c r="A40" s="42" t="s">
        <v>139</v>
      </c>
      <c r="B40" s="40" t="s">
        <v>108</v>
      </c>
    </row>
    <row r="41" spans="1:9" ht="28.5" x14ac:dyDescent="0.2">
      <c r="A41" s="43" t="s">
        <v>159</v>
      </c>
      <c r="B41" s="224" t="str">
        <f>AGUA!O35</f>
        <v>Aguas industriales</v>
      </c>
    </row>
    <row r="42" spans="1:9" ht="28.5" x14ac:dyDescent="0.2">
      <c r="A42" s="43" t="s">
        <v>160</v>
      </c>
      <c r="B42" s="224" t="str">
        <f>AGUA!O36</f>
        <v>Pequeña: de 10 a 50 m³/día.</v>
      </c>
    </row>
    <row r="43" spans="1:9" x14ac:dyDescent="0.2">
      <c r="A43" s="43"/>
      <c r="B43" s="50"/>
    </row>
    <row r="44" spans="1:9" ht="15" thickBot="1" x14ac:dyDescent="0.25">
      <c r="A44" s="31" t="s">
        <v>85</v>
      </c>
      <c r="B44" s="32" t="s">
        <v>3</v>
      </c>
      <c r="C44" s="32" t="s">
        <v>140</v>
      </c>
    </row>
    <row r="45" spans="1:9" ht="15.75" thickTop="1" thickBot="1" x14ac:dyDescent="0.25">
      <c r="A45" s="51" t="str">
        <f>+_xlfn.CONCAT("Cantidad anual"," de ",B41," tratadas")</f>
        <v>Cantidad anual de Aguas industriales tratadas</v>
      </c>
      <c r="B45" s="52">
        <f>+VLOOKUP(B42,B35:C37,2,FALSE)*365</f>
        <v>10950</v>
      </c>
      <c r="C45" s="51" t="s">
        <v>111</v>
      </c>
    </row>
    <row r="46" spans="1:9" ht="15" thickTop="1" x14ac:dyDescent="0.2"/>
    <row r="47" spans="1:9" x14ac:dyDescent="0.2"/>
    <row r="48" spans="1:9" ht="22.5" customHeight="1" x14ac:dyDescent="0.2">
      <c r="A48" s="588" t="s">
        <v>161</v>
      </c>
      <c r="B48" s="589"/>
      <c r="C48" s="589"/>
      <c r="D48" s="589"/>
      <c r="E48" s="589"/>
      <c r="F48" s="589"/>
      <c r="G48" s="589"/>
      <c r="H48" s="589"/>
      <c r="I48" s="589"/>
    </row>
    <row r="49" spans="1:6" x14ac:dyDescent="0.2">
      <c r="A49" s="45" t="s">
        <v>70</v>
      </c>
    </row>
    <row r="50" spans="1:6" x14ac:dyDescent="0.2">
      <c r="A50" s="696" t="s">
        <v>131</v>
      </c>
      <c r="B50" s="687"/>
      <c r="C50" s="688"/>
      <c r="E50" s="61" t="s">
        <v>167</v>
      </c>
      <c r="F50" s="62" t="s">
        <v>168</v>
      </c>
    </row>
    <row r="51" spans="1:6" x14ac:dyDescent="0.2">
      <c r="E51" s="61" t="s">
        <v>169</v>
      </c>
      <c r="F51" s="62" t="s">
        <v>149</v>
      </c>
    </row>
    <row r="52" spans="1:6" x14ac:dyDescent="0.2">
      <c r="A52" s="45" t="s">
        <v>72</v>
      </c>
      <c r="E52" s="61" t="s">
        <v>170</v>
      </c>
      <c r="F52" s="62"/>
    </row>
    <row r="53" spans="1:6" x14ac:dyDescent="0.2">
      <c r="A53" s="689" t="s">
        <v>132</v>
      </c>
      <c r="B53" s="690"/>
      <c r="C53" s="691"/>
      <c r="E53" s="61" t="s">
        <v>171</v>
      </c>
      <c r="F53" s="62"/>
    </row>
    <row r="54" spans="1:6" x14ac:dyDescent="0.2">
      <c r="A54" s="26"/>
      <c r="B54" s="26"/>
      <c r="C54" s="26"/>
    </row>
    <row r="55" spans="1:6" x14ac:dyDescent="0.2">
      <c r="A55" s="593" t="s">
        <v>74</v>
      </c>
      <c r="B55" s="697"/>
      <c r="C55" s="594"/>
    </row>
    <row r="56" spans="1:6" ht="24.75" customHeight="1" x14ac:dyDescent="0.2">
      <c r="A56" s="29" t="s">
        <v>133</v>
      </c>
      <c r="B56" s="698" t="s">
        <v>134</v>
      </c>
      <c r="C56" s="698"/>
    </row>
    <row r="57" spans="1:6" ht="30" customHeight="1" x14ac:dyDescent="0.2">
      <c r="A57" s="29" t="s">
        <v>135</v>
      </c>
      <c r="B57" s="699" t="s">
        <v>136</v>
      </c>
      <c r="C57" s="699"/>
    </row>
    <row r="58" spans="1:6" ht="15" x14ac:dyDescent="0.2">
      <c r="A58" s="29" t="s">
        <v>137</v>
      </c>
      <c r="B58" s="700" t="s">
        <v>162</v>
      </c>
      <c r="C58" s="699"/>
    </row>
    <row r="59" spans="1:6" x14ac:dyDescent="0.2"/>
    <row r="60" spans="1:6" x14ac:dyDescent="0.2">
      <c r="A60" s="42" t="s">
        <v>139</v>
      </c>
      <c r="B60" s="40" t="s">
        <v>108</v>
      </c>
      <c r="C60" s="40" t="s">
        <v>140</v>
      </c>
    </row>
    <row r="61" spans="1:6" ht="28.5" x14ac:dyDescent="0.2">
      <c r="A61" s="43" t="s">
        <v>143</v>
      </c>
      <c r="B61" s="223">
        <f>AGUA!O49</f>
        <v>500</v>
      </c>
      <c r="C61" s="44" t="str">
        <f>AGUA!P49</f>
        <v>Litros</v>
      </c>
    </row>
    <row r="62" spans="1:6" ht="28.5" x14ac:dyDescent="0.2">
      <c r="A62" s="43" t="s">
        <v>144</v>
      </c>
      <c r="B62" s="223">
        <f>AGUA!O50</f>
        <v>25</v>
      </c>
      <c r="C62" s="44" t="str">
        <f>AGUA!P50</f>
        <v>días</v>
      </c>
    </row>
    <row r="63" spans="1:6" ht="28.5" x14ac:dyDescent="0.2">
      <c r="A63" s="43" t="s">
        <v>163</v>
      </c>
      <c r="B63" s="223">
        <f>AGUA!O51</f>
        <v>4</v>
      </c>
      <c r="C63" s="44" t="str">
        <f>AGUA!P51</f>
        <v>meses</v>
      </c>
    </row>
    <row r="64" spans="1:6" x14ac:dyDescent="0.2"/>
    <row r="65" spans="1:7" x14ac:dyDescent="0.2"/>
    <row r="66" spans="1:7" x14ac:dyDescent="0.2">
      <c r="A66" s="45" t="s">
        <v>148</v>
      </c>
    </row>
    <row r="67" spans="1:7" x14ac:dyDescent="0.2">
      <c r="A67" s="31" t="s">
        <v>85</v>
      </c>
      <c r="B67" s="32" t="s">
        <v>3</v>
      </c>
      <c r="C67" s="32" t="s">
        <v>140</v>
      </c>
    </row>
    <row r="68" spans="1:7" x14ac:dyDescent="0.2">
      <c r="A68" s="53" t="s">
        <v>133</v>
      </c>
      <c r="B68" s="54">
        <f>INT(365/B62)*(B63/12)</f>
        <v>4.6666666666666661</v>
      </c>
      <c r="C68" s="53" t="s">
        <v>111</v>
      </c>
    </row>
    <row r="69" spans="1:7" x14ac:dyDescent="0.2">
      <c r="A69" s="53" t="s">
        <v>135</v>
      </c>
      <c r="B69" s="53">
        <f>+IF(C61= "litros",(B68*B61/1000),B68*B61)</f>
        <v>2.333333333333333</v>
      </c>
      <c r="C69" s="53" t="s">
        <v>149</v>
      </c>
    </row>
    <row r="70" spans="1:7" x14ac:dyDescent="0.2"/>
    <row r="71" spans="1:7" x14ac:dyDescent="0.2"/>
    <row r="72" spans="1:7" s="684" customFormat="1" ht="36.75" customHeight="1" x14ac:dyDescent="0.2">
      <c r="A72" s="682" t="s">
        <v>164</v>
      </c>
      <c r="B72" s="683"/>
      <c r="C72" s="683"/>
      <c r="D72" s="683"/>
      <c r="E72" s="683"/>
      <c r="F72" s="683"/>
      <c r="G72" s="683"/>
    </row>
    <row r="73" spans="1:7" x14ac:dyDescent="0.2">
      <c r="A73" s="39" t="s">
        <v>70</v>
      </c>
    </row>
    <row r="74" spans="1:7" ht="36" customHeight="1" x14ac:dyDescent="0.2">
      <c r="A74" s="689" t="s">
        <v>165</v>
      </c>
      <c r="B74" s="690"/>
      <c r="C74" s="691"/>
      <c r="E74" s="58" t="s">
        <v>176</v>
      </c>
      <c r="F74" s="58" t="s">
        <v>156</v>
      </c>
      <c r="G74" s="59" t="s">
        <v>168</v>
      </c>
    </row>
    <row r="75" spans="1:7" ht="28.5" x14ac:dyDescent="0.2">
      <c r="E75" s="58" t="s">
        <v>185</v>
      </c>
      <c r="F75" s="58" t="s">
        <v>157</v>
      </c>
      <c r="G75" s="59" t="s">
        <v>149</v>
      </c>
    </row>
    <row r="76" spans="1:7" ht="28.5" x14ac:dyDescent="0.2">
      <c r="A76" s="25" t="s">
        <v>72</v>
      </c>
      <c r="E76" s="60"/>
      <c r="F76" s="58" t="s">
        <v>158</v>
      </c>
      <c r="G76" s="59"/>
    </row>
    <row r="77" spans="1:7" ht="43.5" customHeight="1" x14ac:dyDescent="0.2">
      <c r="A77" s="689" t="s">
        <v>166</v>
      </c>
      <c r="B77" s="690"/>
      <c r="C77" s="691"/>
    </row>
    <row r="78" spans="1:7" x14ac:dyDescent="0.2">
      <c r="A78" s="26"/>
      <c r="B78" s="26"/>
      <c r="C78" s="26"/>
    </row>
    <row r="79" spans="1:7" x14ac:dyDescent="0.2">
      <c r="A79" s="599" t="s">
        <v>74</v>
      </c>
      <c r="B79" s="599"/>
      <c r="C79" s="599"/>
    </row>
    <row r="80" spans="1:7" ht="15" customHeight="1" x14ac:dyDescent="0.2">
      <c r="A80" s="29" t="s">
        <v>153</v>
      </c>
      <c r="B80" s="41" t="s">
        <v>154</v>
      </c>
      <c r="C80" s="41"/>
    </row>
    <row r="81" spans="1:3" ht="15" customHeight="1" x14ac:dyDescent="0.2">
      <c r="A81" s="685" t="s">
        <v>155</v>
      </c>
      <c r="B81" s="48" t="s">
        <v>156</v>
      </c>
      <c r="C81" s="49">
        <v>30</v>
      </c>
    </row>
    <row r="82" spans="1:3" x14ac:dyDescent="0.2">
      <c r="A82" s="685"/>
      <c r="B82" s="48" t="s">
        <v>157</v>
      </c>
      <c r="C82" s="49">
        <v>275</v>
      </c>
    </row>
    <row r="83" spans="1:3" x14ac:dyDescent="0.2">
      <c r="A83" s="685"/>
      <c r="B83" s="48" t="s">
        <v>158</v>
      </c>
      <c r="C83" s="49">
        <v>500</v>
      </c>
    </row>
    <row r="84" spans="1:3" x14ac:dyDescent="0.2"/>
    <row r="85" spans="1:3" x14ac:dyDescent="0.2"/>
    <row r="86" spans="1:3" x14ac:dyDescent="0.2">
      <c r="A86" s="42" t="s">
        <v>139</v>
      </c>
      <c r="B86" s="40" t="s">
        <v>108</v>
      </c>
    </row>
    <row r="87" spans="1:3" ht="28.5" x14ac:dyDescent="0.2">
      <c r="A87" s="43" t="s">
        <v>159</v>
      </c>
      <c r="B87" s="224" t="str">
        <f>AGUA!O64</f>
        <v>Aguas residuales domésticas</v>
      </c>
    </row>
    <row r="88" spans="1:3" ht="28.5" x14ac:dyDescent="0.2">
      <c r="A88" s="43" t="s">
        <v>160</v>
      </c>
      <c r="B88" s="224" t="str">
        <f>AGUA!O65</f>
        <v>Pequeña: de 10 a 50 m³/día.</v>
      </c>
    </row>
    <row r="89" spans="1:3" x14ac:dyDescent="0.2">
      <c r="A89" s="28"/>
    </row>
    <row r="90" spans="1:3" ht="15" thickBot="1" x14ac:dyDescent="0.25">
      <c r="A90" s="31" t="s">
        <v>85</v>
      </c>
      <c r="B90" s="32" t="s">
        <v>3</v>
      </c>
      <c r="C90" s="32" t="s">
        <v>140</v>
      </c>
    </row>
    <row r="91" spans="1:3" ht="25.5" customHeight="1" thickTop="1" thickBot="1" x14ac:dyDescent="0.25">
      <c r="A91" s="51" t="str">
        <f>+_xlfn.CONCAT("Cantidad anual"," de ",B87," tratadas")</f>
        <v>Cantidad anual de Aguas residuales domésticas tratadas</v>
      </c>
      <c r="B91" s="52">
        <f>+VLOOKUP(B88,B81:C83,2,FALSE)*365</f>
        <v>10950</v>
      </c>
      <c r="C91" s="51" t="s">
        <v>111</v>
      </c>
    </row>
    <row r="92" spans="1:3" ht="15" thickTop="1" x14ac:dyDescent="0.2"/>
    <row r="93" spans="1:3" x14ac:dyDescent="0.2"/>
  </sheetData>
  <mergeCells count="24">
    <mergeCell ref="A81:A83"/>
    <mergeCell ref="A50:C50"/>
    <mergeCell ref="A53:C53"/>
    <mergeCell ref="A55:C55"/>
    <mergeCell ref="B56:C56"/>
    <mergeCell ref="B57:C57"/>
    <mergeCell ref="B58:C58"/>
    <mergeCell ref="A74:C74"/>
    <mergeCell ref="A77:C77"/>
    <mergeCell ref="A79:C79"/>
    <mergeCell ref="A1:I1"/>
    <mergeCell ref="A26:I26"/>
    <mergeCell ref="A48:I48"/>
    <mergeCell ref="A72:XFD72"/>
    <mergeCell ref="A35:A37"/>
    <mergeCell ref="A3:C3"/>
    <mergeCell ref="A6:C6"/>
    <mergeCell ref="A8:C8"/>
    <mergeCell ref="B9:C9"/>
    <mergeCell ref="B10:C10"/>
    <mergeCell ref="B11:C11"/>
    <mergeCell ref="A28:C28"/>
    <mergeCell ref="A31:C31"/>
    <mergeCell ref="A33:C3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a28ded7-ec65-4d57-8e3e-d6ca8c96e2a1" xsi:nil="true"/>
    <lcf76f155ced4ddcb4097134ff3c332f xmlns="bc39d1d8-f24a-485d-83ca-f078c2c95d8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42F3718AD47DE41B94753FF610C0DE1" ma:contentTypeVersion="11" ma:contentTypeDescription="Crear nuevo documento." ma:contentTypeScope="" ma:versionID="64514b326988125b740b6347adc27eec">
  <xsd:schema xmlns:xsd="http://www.w3.org/2001/XMLSchema" xmlns:xs="http://www.w3.org/2001/XMLSchema" xmlns:p="http://schemas.microsoft.com/office/2006/metadata/properties" xmlns:ns2="bc39d1d8-f24a-485d-83ca-f078c2c95d84" xmlns:ns3="8a28ded7-ec65-4d57-8e3e-d6ca8c96e2a1" targetNamespace="http://schemas.microsoft.com/office/2006/metadata/properties" ma:root="true" ma:fieldsID="7015ca1052e54dd5aff7c4497c4c6782" ns2:_="" ns3:_="">
    <xsd:import namespace="bc39d1d8-f24a-485d-83ca-f078c2c95d84"/>
    <xsd:import namespace="8a28ded7-ec65-4d57-8e3e-d6ca8c96e2a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39d1d8-f24a-485d-83ca-f078c2c95d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7dc40a08-91da-4186-9c17-356cd75269d7"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28ded7-ec65-4d57-8e3e-d6ca8c96e2a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204ba01-0933-48fd-a486-4757c6c4be83}" ma:internalName="TaxCatchAll" ma:showField="CatchAllData" ma:web="8a28ded7-ec65-4d57-8e3e-d6ca8c96e2a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B1D2CD-1D37-42DA-9868-A7124AFFF84E}">
  <ds:schemaRefs>
    <ds:schemaRef ds:uri="http://schemas.microsoft.com/sharepoint/v3/contenttype/forms"/>
  </ds:schemaRefs>
</ds:datastoreItem>
</file>

<file path=customXml/itemProps2.xml><?xml version="1.0" encoding="utf-8"?>
<ds:datastoreItem xmlns:ds="http://schemas.openxmlformats.org/officeDocument/2006/customXml" ds:itemID="{895B48FC-EF4F-4024-B209-E229FB20C0E1}">
  <ds:schemaRefs>
    <ds:schemaRef ds:uri="http://schemas.microsoft.com/office/2006/documentManagement/types"/>
    <ds:schemaRef ds:uri="http://schemas.microsoft.com/office/2006/metadata/properties"/>
    <ds:schemaRef ds:uri="http://schemas.openxmlformats.org/package/2006/metadata/core-properties"/>
    <ds:schemaRef ds:uri="http://purl.org/dc/dcmitype/"/>
    <ds:schemaRef ds:uri="http://purl.org/dc/elements/1.1/"/>
    <ds:schemaRef ds:uri="http://purl.org/dc/terms/"/>
    <ds:schemaRef ds:uri="51e87242-1eed-48f5-9222-af195f7632c9"/>
    <ds:schemaRef ds:uri="http://www.w3.org/XML/1998/namespace"/>
    <ds:schemaRef ds:uri="http://schemas.microsoft.com/office/infopath/2007/PartnerControls"/>
    <ds:schemaRef ds:uri="f378dd3a-c887-4f44-a2e6-b366a02e552a"/>
  </ds:schemaRefs>
</ds:datastoreItem>
</file>

<file path=customXml/itemProps3.xml><?xml version="1.0" encoding="utf-8"?>
<ds:datastoreItem xmlns:ds="http://schemas.openxmlformats.org/officeDocument/2006/customXml" ds:itemID="{8754023C-3048-4292-B16B-7355BCAD05C7}"/>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Template>TM04036851</Template>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ÍNDICE</vt:lpstr>
      <vt:lpstr>EDIFICIOS</vt:lpstr>
      <vt:lpstr>Datos_edif</vt:lpstr>
      <vt:lpstr>EFICIENCIA</vt:lpstr>
      <vt:lpstr>Datos Eff Energ</vt:lpstr>
      <vt:lpstr>ENERGIA</vt:lpstr>
      <vt:lpstr>Datos_energia</vt:lpstr>
      <vt:lpstr>AGUA</vt:lpstr>
      <vt:lpstr>Datos_agua</vt:lpstr>
      <vt:lpstr>RECURSOS</vt:lpstr>
      <vt:lpstr>Datos_recursos</vt:lpstr>
      <vt:lpstr>RESIDUOS</vt:lpstr>
      <vt:lpstr>Datos_residuos</vt:lpstr>
      <vt:lpstr>TRANSPORTE</vt:lpstr>
      <vt:lpstr>Datos_transporte</vt:lpstr>
      <vt:lpstr>InfoCreditos</vt:lpstr>
      <vt:lpstr>ResumenItems</vt:lpstr>
      <vt:lpstr>PDL</vt:lpstr>
      <vt:lpstr>CERTIFICACION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2022-11-06T06:50:33Z</dcterms:created>
  <dcterms:modified xsi:type="dcterms:W3CDTF">2023-06-09T22:07:56Z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0x01010080B8AEB37CCB464DBDACA416ACB92B24</vt:lpwstr>
  </property>
</Properties>
</file>